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X:\PhD\NGCC Paper 1\"/>
    </mc:Choice>
  </mc:AlternateContent>
  <xr:revisionPtr revIDLastSave="0" documentId="13_ncr:1_{94061EDE-19CA-4BFD-8A74-C87A1ACD4E0A}" xr6:coauthVersionLast="47" xr6:coauthVersionMax="47" xr10:uidLastSave="{00000000-0000-0000-0000-000000000000}"/>
  <workbookProtection workbookAlgorithmName="SHA-512" workbookHashValue="ryHm0ZQfcBDyC2cUTLHwjD7Qdo5BhAhC/b8mqgPBmtVS8ZeeCZ4vqBhIo0VWACg5dRXgahdToPAVKXJK7B/u6Q==" workbookSaltValue="TwGYgkSnDuvLhRUS9m6gDw==" workbookSpinCount="100000" lockStructure="1"/>
  <bookViews>
    <workbookView xWindow="9885" yWindow="900" windowWidth="13470" windowHeight="13995" xr2:uid="{5C475035-1A00-4D44-9F5B-59A92FB1620F}"/>
  </bookViews>
  <sheets>
    <sheet name="Input-Output" sheetId="1" r:id="rId1"/>
    <sheet name="Data &amp; calculation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1" i="2" l="1"/>
  <c r="B46" i="2"/>
  <c r="B45" i="2"/>
  <c r="B47" i="2" s="1"/>
  <c r="B36" i="2"/>
  <c r="D30" i="2"/>
  <c r="D29" i="2"/>
  <c r="D28" i="2"/>
  <c r="D25" i="2"/>
  <c r="C25" i="2"/>
  <c r="B25" i="2"/>
  <c r="D24" i="2"/>
  <c r="C24" i="2"/>
  <c r="B24" i="2"/>
  <c r="B23" i="2"/>
  <c r="D23" i="2" s="1"/>
  <c r="D15" i="2"/>
  <c r="D13" i="2"/>
  <c r="D10" i="2"/>
  <c r="D9" i="2"/>
  <c r="D8" i="2"/>
  <c r="D6" i="2"/>
  <c r="D21" i="2" s="1"/>
  <c r="C5" i="2"/>
  <c r="C20" i="2" s="1"/>
  <c r="B5" i="2"/>
  <c r="B20" i="2" s="1"/>
  <c r="D20" i="2" s="1"/>
  <c r="D4" i="2"/>
  <c r="C4" i="2"/>
  <c r="C19" i="2" s="1"/>
  <c r="B4" i="2"/>
  <c r="B19" i="2" s="1"/>
  <c r="D19" i="2" s="1"/>
  <c r="C3" i="2"/>
  <c r="C18" i="2" s="1"/>
  <c r="B3" i="2"/>
  <c r="B18" i="2" s="1"/>
  <c r="D18" i="2" s="1"/>
  <c r="D5" i="2" l="1"/>
  <c r="B35" i="2"/>
  <c r="B34" i="2"/>
  <c r="B16" i="1" s="1"/>
  <c r="B48" i="2"/>
  <c r="B52" i="2" s="1"/>
  <c r="B50" i="2"/>
  <c r="D3" i="2"/>
  <c r="D14" i="2"/>
  <c r="B49" i="2"/>
  <c r="B15" i="1" l="1"/>
  <c r="B19" i="1" l="1"/>
  <c r="B20" i="1"/>
  <c r="B17" i="1" l="1"/>
  <c r="B21" i="1" s="1"/>
  <c r="B18" i="1" l="1"/>
</calcChain>
</file>

<file path=xl/sharedStrings.xml><?xml version="1.0" encoding="utf-8"?>
<sst xmlns="http://schemas.openxmlformats.org/spreadsheetml/2006/main" count="104" uniqueCount="69">
  <si>
    <t>MtCO2e</t>
  </si>
  <si>
    <t>Starts/stops</t>
  </si>
  <si>
    <t>Normal operation</t>
  </si>
  <si>
    <t>kgCO2e/MWh</t>
  </si>
  <si>
    <t>Hot starts</t>
  </si>
  <si>
    <t>Warm starts</t>
  </si>
  <si>
    <t>Cold starts</t>
  </si>
  <si>
    <t xml:space="preserve">Plant life </t>
  </si>
  <si>
    <t>MW</t>
  </si>
  <si>
    <t>Annual operating hours</t>
  </si>
  <si>
    <t>per hot start</t>
  </si>
  <si>
    <t>per warm start</t>
  </si>
  <si>
    <t>per cold start</t>
  </si>
  <si>
    <t>CCGT efficiency</t>
  </si>
  <si>
    <t>years</t>
  </si>
  <si>
    <t>per year</t>
  </si>
  <si>
    <t>% rated</t>
  </si>
  <si>
    <t>NG consumption</t>
  </si>
  <si>
    <t>NG supply chain</t>
  </si>
  <si>
    <t>gCO2e/MJ</t>
  </si>
  <si>
    <t>NG supply chain emissions</t>
  </si>
  <si>
    <t>GJ/h</t>
  </si>
  <si>
    <t>tCO2e/h</t>
  </si>
  <si>
    <t>Fossil-CO2 capture rate</t>
  </si>
  <si>
    <t>Direct CO2 emissions</t>
  </si>
  <si>
    <t>tCO2/h</t>
  </si>
  <si>
    <t>Normal operation emissions</t>
  </si>
  <si>
    <t>CCGT construction</t>
  </si>
  <si>
    <t>ktCO2e</t>
  </si>
  <si>
    <t>Sequestration infrastructure</t>
  </si>
  <si>
    <t>Decommissioning</t>
  </si>
  <si>
    <t>ktCO2e/year</t>
  </si>
  <si>
    <t>Fixed maintenance</t>
  </si>
  <si>
    <t>Variable maintenance</t>
  </si>
  <si>
    <t>Duty cycle:</t>
  </si>
  <si>
    <t>Plant output</t>
  </si>
  <si>
    <t>Trace pollutants</t>
  </si>
  <si>
    <t>Interim solvent storage</t>
  </si>
  <si>
    <t>Yes</t>
  </si>
  <si>
    <t>No</t>
  </si>
  <si>
    <t>Column1</t>
  </si>
  <si>
    <t>With storage</t>
  </si>
  <si>
    <t>without storage</t>
  </si>
  <si>
    <t>Non-capturable (tCO2e)</t>
  </si>
  <si>
    <t>Capturable (tCO2)</t>
  </si>
  <si>
    <t>Net emissions (tCO2e)</t>
  </si>
  <si>
    <t>Life cycle GWP intensity</t>
  </si>
  <si>
    <t>Electricity output (MWh)</t>
  </si>
  <si>
    <t>Fuel consumption (GJ LHV)</t>
  </si>
  <si>
    <t>Selected</t>
  </si>
  <si>
    <t>Life cycle inventory</t>
  </si>
  <si>
    <t>GHG emissions</t>
  </si>
  <si>
    <t>Electricity output</t>
  </si>
  <si>
    <t>Fuel consumption</t>
  </si>
  <si>
    <t>per shutdown</t>
  </si>
  <si>
    <t xml:space="preserve">Normal operation  </t>
  </si>
  <si>
    <t>NG supply chain (tCO2e)</t>
  </si>
  <si>
    <t>Start/stop Life cycle invetory data</t>
  </si>
  <si>
    <t>Fixed emissions</t>
  </si>
  <si>
    <t>Start/stops -total</t>
  </si>
  <si>
    <t>tCO2e/y</t>
  </si>
  <si>
    <t>MWh/y</t>
  </si>
  <si>
    <t>GJ/y</t>
  </si>
  <si>
    <t>TWh</t>
  </si>
  <si>
    <t>PJ (LHV)</t>
  </si>
  <si>
    <t>Input data</t>
  </si>
  <si>
    <t>CCGT output (normal operation)</t>
  </si>
  <si>
    <t>Total life cycle emissions</t>
  </si>
  <si>
    <t>Infrastructure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</si>
</sst>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9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  <xf numFmtId="164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0" fillId="0" borderId="0" xfId="0" applyNumberFormat="1" applyAlignment="1">
      <alignment horizontal="left"/>
    </xf>
    <xf numFmtId="9" fontId="2" fillId="0" borderId="0" xfId="0" applyNumberFormat="1" applyFont="1"/>
    <xf numFmtId="1" fontId="2" fillId="0" borderId="0" xfId="0" applyNumberFormat="1" applyFont="1" applyAlignment="1">
      <alignment horizontal="center"/>
    </xf>
    <xf numFmtId="0" fontId="0" fillId="0" borderId="0" xfId="0" applyFill="1"/>
    <xf numFmtId="164" fontId="0" fillId="0" borderId="0" xfId="1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137C93-3BBF-45C1-8E18-3B32CF0989BE}" name="Table1" displayName="Table1" ref="A55:A57" totalsRowShown="0">
  <autoFilter ref="A55:A57" xr:uid="{F4137C93-3BBF-45C1-8E18-3B32CF0989BE}"/>
  <tableColumns count="1">
    <tableColumn id="1" xr3:uid="{82C238DD-50FE-4F7D-92E8-E8362CF9A7AC}" name="Column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930BB-3EAA-4A94-8918-769B7CA0BCBB}">
  <dimension ref="A1:J21"/>
  <sheetViews>
    <sheetView tabSelected="1" workbookViewId="0">
      <selection activeCell="F11" sqref="F11"/>
    </sheetView>
  </sheetViews>
  <sheetFormatPr defaultRowHeight="15" x14ac:dyDescent="0.25"/>
  <cols>
    <col min="1" max="1" width="30.5703125" bestFit="1" customWidth="1"/>
    <col min="2" max="2" width="12.5703125" customWidth="1"/>
    <col min="3" max="3" width="13.140625" bestFit="1" customWidth="1"/>
  </cols>
  <sheetData>
    <row r="1" spans="1:10" x14ac:dyDescent="0.25">
      <c r="A1" s="3" t="s">
        <v>65</v>
      </c>
    </row>
    <row r="2" spans="1:10" x14ac:dyDescent="0.25">
      <c r="A2" t="s">
        <v>9</v>
      </c>
      <c r="B2" s="2">
        <v>3156</v>
      </c>
      <c r="C2" s="2" t="s">
        <v>15</v>
      </c>
    </row>
    <row r="3" spans="1:10" x14ac:dyDescent="0.25">
      <c r="A3" t="s">
        <v>7</v>
      </c>
      <c r="B3" s="2">
        <v>30</v>
      </c>
      <c r="C3" s="2" t="s">
        <v>14</v>
      </c>
    </row>
    <row r="4" spans="1:10" x14ac:dyDescent="0.25">
      <c r="A4" t="s">
        <v>23</v>
      </c>
      <c r="B4" s="4">
        <v>0.97699999999999998</v>
      </c>
      <c r="C4" s="2"/>
      <c r="I4" s="14"/>
      <c r="J4" s="14"/>
    </row>
    <row r="5" spans="1:10" x14ac:dyDescent="0.25">
      <c r="A5" t="s">
        <v>18</v>
      </c>
      <c r="B5" s="2">
        <v>1.46</v>
      </c>
      <c r="C5" s="2" t="s">
        <v>19</v>
      </c>
    </row>
    <row r="6" spans="1:10" x14ac:dyDescent="0.25">
      <c r="A6" t="s">
        <v>34</v>
      </c>
      <c r="B6" s="2"/>
      <c r="C6" s="2"/>
    </row>
    <row r="7" spans="1:10" x14ac:dyDescent="0.25">
      <c r="A7" t="s">
        <v>66</v>
      </c>
      <c r="B7" s="5">
        <v>0.95</v>
      </c>
      <c r="C7" s="2" t="s">
        <v>16</v>
      </c>
    </row>
    <row r="8" spans="1:10" x14ac:dyDescent="0.25">
      <c r="A8" t="s">
        <v>4</v>
      </c>
      <c r="B8" s="2">
        <v>240</v>
      </c>
      <c r="C8" s="2" t="s">
        <v>15</v>
      </c>
    </row>
    <row r="9" spans="1:10" x14ac:dyDescent="0.25">
      <c r="A9" t="s">
        <v>5</v>
      </c>
      <c r="B9" s="2">
        <v>45</v>
      </c>
      <c r="C9" s="2" t="s">
        <v>15</v>
      </c>
    </row>
    <row r="10" spans="1:10" x14ac:dyDescent="0.25">
      <c r="A10" t="s">
        <v>6</v>
      </c>
      <c r="B10" s="2">
        <v>15</v>
      </c>
      <c r="C10" s="2" t="s">
        <v>15</v>
      </c>
    </row>
    <row r="11" spans="1:10" x14ac:dyDescent="0.25">
      <c r="A11" t="s">
        <v>37</v>
      </c>
      <c r="B11" s="2" t="s">
        <v>38</v>
      </c>
    </row>
    <row r="13" spans="1:10" x14ac:dyDescent="0.25">
      <c r="A13" s="3" t="s">
        <v>50</v>
      </c>
    </row>
    <row r="14" spans="1:10" x14ac:dyDescent="0.25">
      <c r="A14" t="s">
        <v>51</v>
      </c>
    </row>
    <row r="15" spans="1:10" x14ac:dyDescent="0.25">
      <c r="A15" s="9" t="s">
        <v>68</v>
      </c>
      <c r="B15" s="6">
        <f>('Data &amp; calculations'!B39+'Data &amp; calculations'!B40+'Data &amp; calculations'!B41+'Data &amp; calculations'!B42*B3)/1000</f>
        <v>0.63090000000000002</v>
      </c>
      <c r="C15" s="2" t="s">
        <v>0</v>
      </c>
    </row>
    <row r="16" spans="1:10" x14ac:dyDescent="0.25">
      <c r="A16" s="10" t="s">
        <v>1</v>
      </c>
      <c r="B16" s="6">
        <f>'Data &amp; calculations'!B34*B3/1000000</f>
        <v>0.47838618000000016</v>
      </c>
      <c r="C16" s="2" t="s">
        <v>0</v>
      </c>
    </row>
    <row r="17" spans="1:3" x14ac:dyDescent="0.25">
      <c r="A17" s="9" t="s">
        <v>2</v>
      </c>
      <c r="B17" s="6">
        <f>'Data &amp; calculations'!B52*B2/1000000*B3</f>
        <v>1.9490418409117756</v>
      </c>
      <c r="C17" s="2" t="s">
        <v>0</v>
      </c>
    </row>
    <row r="18" spans="1:3" x14ac:dyDescent="0.25">
      <c r="A18" s="11" t="s">
        <v>67</v>
      </c>
      <c r="B18" s="6">
        <f>SUM(B15:B17)</f>
        <v>3.0583280209117758</v>
      </c>
      <c r="C18" s="2" t="s">
        <v>0</v>
      </c>
    </row>
    <row r="19" spans="1:3" x14ac:dyDescent="0.25">
      <c r="A19" s="1" t="s">
        <v>52</v>
      </c>
      <c r="B19" s="7">
        <f>('Data &amp; calculations'!B45*B2*B3+'Data &amp; calculations'!B35*B3)/10^6</f>
        <v>85.248948142756788</v>
      </c>
      <c r="C19" s="2" t="s">
        <v>63</v>
      </c>
    </row>
    <row r="20" spans="1:3" x14ac:dyDescent="0.25">
      <c r="A20" s="1" t="s">
        <v>53</v>
      </c>
      <c r="B20" s="8">
        <f>('Data &amp; calculations'!B47*B2*B3+'Data &amp; calculations'!B36*B3)/10^6</f>
        <v>595.7813178950488</v>
      </c>
      <c r="C20" s="2" t="s">
        <v>64</v>
      </c>
    </row>
    <row r="21" spans="1:3" x14ac:dyDescent="0.25">
      <c r="A21" s="12" t="s">
        <v>46</v>
      </c>
      <c r="B21" s="13">
        <f>SUM(B15:B17)*1000000000/(B19*10^6)</f>
        <v>35.875258141488608</v>
      </c>
      <c r="C21" s="3" t="s">
        <v>3</v>
      </c>
    </row>
  </sheetData>
  <sheetProtection algorithmName="SHA-512" hashValue="50nGOinXC8fsprpNKuOD2wBn+7Kd1oUnIli+Cd53dS4z5wl1vHDeduXszHY8B8m/nF2FF51BDb9bcS9B9EognQ==" saltValue="gqTASXIVBMQthB4oAjzclw==" spinCount="100000" sheet="1" objects="1" scenarios="1" formatCells="0"/>
  <protectedRanges>
    <protectedRange sqref="B2:B11" name="Range1"/>
  </protectedRanges>
  <dataValidations count="3">
    <dataValidation type="decimal" allowBlank="1" showInputMessage="1" showErrorMessage="1" error="Value must be between 90% and 100%" prompt="Enter value between 90% and 100%" sqref="B4" xr:uid="{19DBC13C-FE05-4E73-B398-A5D7F11CF15B}">
      <formula1>0.9</formula1>
      <formula2>1</formula2>
    </dataValidation>
    <dataValidation type="decimal" allowBlank="1" showInputMessage="1" showErrorMessage="1" error="Input value between 1 and 8760" sqref="B2" xr:uid="{B8E14E01-F875-41EE-86A1-80E1E4F9AB70}">
      <formula1>1</formula1>
      <formula2>8760</formula2>
    </dataValidation>
    <dataValidation type="decimal" allowBlank="1" showInputMessage="1" showErrorMessage="1" error="Value must be between 35% and 100%" prompt="Input value between 35% and 100%" sqref="B7" xr:uid="{05D13EEE-444F-46E5-B02D-F1BE77313075}">
      <formula1>0.35</formula1>
      <formula2>1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ErrorMessage="1" xr:uid="{8758135C-BFD4-4D9E-B845-67331642D81F}">
          <x14:formula1>
            <xm:f>'Data &amp; calculations'!$A$56:$A$57</xm:f>
          </x14:formula1>
          <xm:sqref>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CF3C6-5E9A-4652-B6ED-44C3BAF866FB}">
  <dimension ref="A1:D58"/>
  <sheetViews>
    <sheetView workbookViewId="0">
      <selection activeCell="B18" sqref="B18"/>
    </sheetView>
  </sheetViews>
  <sheetFormatPr defaultRowHeight="15" x14ac:dyDescent="0.25"/>
  <cols>
    <col min="1" max="1" width="39" customWidth="1"/>
    <col min="2" max="2" width="12" style="2" bestFit="1" customWidth="1"/>
    <col min="3" max="3" width="14.7109375" style="2" bestFit="1" customWidth="1"/>
    <col min="4" max="4" width="9.140625" style="2"/>
  </cols>
  <sheetData>
    <row r="1" spans="1:4" x14ac:dyDescent="0.25">
      <c r="A1" s="3" t="s">
        <v>57</v>
      </c>
      <c r="B1" s="2" t="s">
        <v>41</v>
      </c>
      <c r="C1" s="2" t="s">
        <v>42</v>
      </c>
      <c r="D1" s="2" t="s">
        <v>49</v>
      </c>
    </row>
    <row r="2" spans="1:4" x14ac:dyDescent="0.25">
      <c r="A2" s="1" t="s">
        <v>56</v>
      </c>
    </row>
    <row r="3" spans="1:4" x14ac:dyDescent="0.25">
      <c r="A3" t="s">
        <v>10</v>
      </c>
      <c r="B3" s="7">
        <f>'Input-Output'!$B$5*B28/1000</f>
        <v>7.39344</v>
      </c>
      <c r="C3" s="7">
        <f>'Input-Output'!$B$5*C28/1000</f>
        <v>2.6863999999999999</v>
      </c>
      <c r="D3" s="8">
        <f>IF('Input-Output'!$B$11="Yes",B3,C3)</f>
        <v>7.39344</v>
      </c>
    </row>
    <row r="4" spans="1:4" x14ac:dyDescent="0.25">
      <c r="A4" t="s">
        <v>11</v>
      </c>
      <c r="B4" s="7">
        <f>'Input-Output'!$B$5*B29/1000</f>
        <v>13.58384</v>
      </c>
      <c r="C4" s="7">
        <f>'Input-Output'!$B$5*C29/1000</f>
        <v>7.18466</v>
      </c>
      <c r="D4" s="8">
        <f>IF('Input-Output'!$B$11="Yes",B4,C4)</f>
        <v>13.58384</v>
      </c>
    </row>
    <row r="5" spans="1:4" x14ac:dyDescent="0.25">
      <c r="A5" t="s">
        <v>12</v>
      </c>
      <c r="B5" s="7">
        <f>'Input-Output'!$B$5*B30/1000</f>
        <v>18.534700000000001</v>
      </c>
      <c r="C5" s="7">
        <f>'Input-Output'!$B$5*C30/1000</f>
        <v>10.332420000000001</v>
      </c>
      <c r="D5" s="8">
        <f>IF('Input-Output'!$B$11="Yes",B5,C5)</f>
        <v>18.534700000000001</v>
      </c>
    </row>
    <row r="6" spans="1:4" x14ac:dyDescent="0.25">
      <c r="A6" t="s">
        <v>54</v>
      </c>
      <c r="B6" s="7"/>
      <c r="C6" s="7"/>
      <c r="D6" s="7">
        <f>'Input-Output'!$B$5*D31/1000</f>
        <v>1.5709600000000001</v>
      </c>
    </row>
    <row r="7" spans="1:4" x14ac:dyDescent="0.25">
      <c r="A7" t="s">
        <v>44</v>
      </c>
    </row>
    <row r="8" spans="1:4" x14ac:dyDescent="0.25">
      <c r="A8" t="s">
        <v>10</v>
      </c>
      <c r="B8" s="8">
        <v>290</v>
      </c>
      <c r="C8" s="8">
        <v>0</v>
      </c>
      <c r="D8" s="8">
        <f>IF('Input-Output'!$B$11="Yes",B8,C8)</f>
        <v>290</v>
      </c>
    </row>
    <row r="9" spans="1:4" x14ac:dyDescent="0.25">
      <c r="A9" t="s">
        <v>11</v>
      </c>
      <c r="B9" s="8">
        <v>532.20000000000005</v>
      </c>
      <c r="C9" s="8">
        <v>88.1</v>
      </c>
      <c r="D9" s="8">
        <f>IF('Input-Output'!$B$11="Yes",B9,C9)</f>
        <v>532.20000000000005</v>
      </c>
    </row>
    <row r="10" spans="1:4" x14ac:dyDescent="0.25">
      <c r="A10" t="s">
        <v>12</v>
      </c>
      <c r="B10" s="8">
        <v>726.2</v>
      </c>
      <c r="C10" s="8">
        <v>141</v>
      </c>
      <c r="D10" s="8">
        <f>IF('Input-Output'!$B$11="Yes",B10,C10)</f>
        <v>726.2</v>
      </c>
    </row>
    <row r="11" spans="1:4" x14ac:dyDescent="0.25">
      <c r="A11" t="s">
        <v>54</v>
      </c>
      <c r="B11" s="8"/>
      <c r="C11" s="8"/>
      <c r="D11" s="8">
        <v>61.6</v>
      </c>
    </row>
    <row r="12" spans="1:4" x14ac:dyDescent="0.25">
      <c r="A12" t="s">
        <v>43</v>
      </c>
      <c r="B12" s="8"/>
      <c r="C12" s="8"/>
      <c r="D12" s="8"/>
    </row>
    <row r="13" spans="1:4" x14ac:dyDescent="0.25">
      <c r="A13" t="s">
        <v>10</v>
      </c>
      <c r="B13" s="8">
        <v>20.706560000000003</v>
      </c>
      <c r="C13" s="8">
        <v>123.31359999999999</v>
      </c>
      <c r="D13" s="8">
        <f>IF('Input-Output'!$B$11="Yes",B13,C13)</f>
        <v>20.706560000000003</v>
      </c>
    </row>
    <row r="14" spans="1:4" x14ac:dyDescent="0.25">
      <c r="A14" t="s">
        <v>11</v>
      </c>
      <c r="B14" s="8">
        <v>36.416159999999998</v>
      </c>
      <c r="C14" s="8">
        <v>226.81533999999999</v>
      </c>
      <c r="D14" s="8">
        <f>IF('Input-Output'!$B$11="Yes",B14,C14)</f>
        <v>36.416159999999998</v>
      </c>
    </row>
    <row r="15" spans="1:4" x14ac:dyDescent="0.25">
      <c r="A15" t="s">
        <v>12</v>
      </c>
      <c r="B15" s="8">
        <v>56.465299999999999</v>
      </c>
      <c r="C15" s="8">
        <v>316.66757999999999</v>
      </c>
      <c r="D15" s="8">
        <f>IF('Input-Output'!$B$11="Yes",B15,C15)</f>
        <v>56.465299999999999</v>
      </c>
    </row>
    <row r="16" spans="1:4" x14ac:dyDescent="0.25">
      <c r="A16" t="s">
        <v>54</v>
      </c>
      <c r="B16" s="8"/>
      <c r="C16" s="8"/>
      <c r="D16" s="8">
        <v>8.4290400000000005</v>
      </c>
    </row>
    <row r="17" spans="1:4" x14ac:dyDescent="0.25">
      <c r="A17" t="s">
        <v>45</v>
      </c>
      <c r="B17" s="8"/>
      <c r="C17" s="8"/>
      <c r="D17" s="8"/>
    </row>
    <row r="18" spans="1:4" x14ac:dyDescent="0.25">
      <c r="A18" t="s">
        <v>10</v>
      </c>
      <c r="B18" s="8">
        <f>B3+B8*(1-'Input-Output'!$B$4)+B13</f>
        <v>34.77000000000001</v>
      </c>
      <c r="C18" s="8">
        <f>C3+C8*(1-'Input-Output'!$B$4)+C13</f>
        <v>126</v>
      </c>
      <c r="D18" s="8">
        <f>IF('Input-Output'!$B$11="Yes",B18,C18)</f>
        <v>34.77000000000001</v>
      </c>
    </row>
    <row r="19" spans="1:4" x14ac:dyDescent="0.25">
      <c r="A19" t="s">
        <v>11</v>
      </c>
      <c r="B19" s="8">
        <f>B4+B9*(1-'Input-Output'!$B$4)+B14</f>
        <v>62.240600000000008</v>
      </c>
      <c r="C19" s="8">
        <f>C4+C9*(1-'Input-Output'!$B$4)+C14</f>
        <v>236.02629999999999</v>
      </c>
      <c r="D19" s="8">
        <f>IF('Input-Output'!$B$11="Yes",B19,C19)</f>
        <v>62.240600000000008</v>
      </c>
    </row>
    <row r="20" spans="1:4" x14ac:dyDescent="0.25">
      <c r="A20" t="s">
        <v>12</v>
      </c>
      <c r="B20" s="8">
        <f>B5+B10*(1-'Input-Output'!$B$4)+B15</f>
        <v>91.702600000000018</v>
      </c>
      <c r="C20" s="8">
        <f>C5+C10*(1-'Input-Output'!$B$4)+C15</f>
        <v>330.24299999999999</v>
      </c>
      <c r="D20" s="8">
        <f>IF('Input-Output'!$B$11="Yes",B20,C20)</f>
        <v>91.702600000000018</v>
      </c>
    </row>
    <row r="21" spans="1:4" x14ac:dyDescent="0.25">
      <c r="A21" t="s">
        <v>54</v>
      </c>
      <c r="B21" s="8"/>
      <c r="C21" s="8"/>
      <c r="D21" s="8">
        <f>D6+D11*(1-'Input-Output'!$B$4)+D16</f>
        <v>11.416800000000002</v>
      </c>
    </row>
    <row r="22" spans="1:4" x14ac:dyDescent="0.25">
      <c r="A22" t="s">
        <v>47</v>
      </c>
      <c r="B22" s="8"/>
      <c r="C22" s="8"/>
      <c r="D22" s="8"/>
    </row>
    <row r="23" spans="1:4" x14ac:dyDescent="0.25">
      <c r="A23" t="s">
        <v>10</v>
      </c>
      <c r="B23" s="8">
        <f>-1439.4*'Input-Output'!$B$4^2+2614.2*'Input-Output'!$B$4-624.1</f>
        <v>556.02435739999976</v>
      </c>
      <c r="C23" s="8">
        <v>165</v>
      </c>
      <c r="D23" s="8">
        <f>IF('Input-Output'!$B$11="Yes",B23,C23)</f>
        <v>556.02435739999976</v>
      </c>
    </row>
    <row r="24" spans="1:4" x14ac:dyDescent="0.25">
      <c r="A24" t="s">
        <v>11</v>
      </c>
      <c r="B24" s="8">
        <f>-2025.3*'Input-Output'!$B$4^2+3675.5*'Input-Output'!$B$4-669.43</f>
        <v>988.3259162999999</v>
      </c>
      <c r="C24" s="8">
        <f>-425.45*'Input-Output'!$B$4^2+772.9*'Input-Output'!$B$4+121</f>
        <v>470.01893695000001</v>
      </c>
      <c r="D24" s="8">
        <f>IF('Input-Output'!$B$11="Yes",B24,C24)</f>
        <v>988.3259162999999</v>
      </c>
    </row>
    <row r="25" spans="1:4" x14ac:dyDescent="0.25">
      <c r="A25" t="s">
        <v>12</v>
      </c>
      <c r="B25" s="8">
        <f>-2526.8*'Input-Output'!$B$4^2+4570.5*'Input-Output'!$B$4-706.1</f>
        <v>1347.3746228</v>
      </c>
      <c r="C25" s="8">
        <f>-587.21*'Input-Output'!$B$4^2+1064.9*'Input-Output'!$B$4+207.8</f>
        <v>687.69832590999999</v>
      </c>
      <c r="D25" s="8">
        <f>IF('Input-Output'!$B$11="Yes",B25,C25)</f>
        <v>1347.3746228</v>
      </c>
    </row>
    <row r="26" spans="1:4" x14ac:dyDescent="0.25">
      <c r="A26" t="s">
        <v>54</v>
      </c>
      <c r="B26" s="8"/>
      <c r="C26" s="8"/>
      <c r="D26" s="8">
        <v>102</v>
      </c>
    </row>
    <row r="27" spans="1:4" x14ac:dyDescent="0.25">
      <c r="A27" t="s">
        <v>48</v>
      </c>
      <c r="B27" s="8"/>
      <c r="C27" s="8"/>
      <c r="D27" s="8"/>
    </row>
    <row r="28" spans="1:4" x14ac:dyDescent="0.25">
      <c r="A28" t="s">
        <v>10</v>
      </c>
      <c r="B28" s="8">
        <v>5064</v>
      </c>
      <c r="C28" s="8">
        <v>1840</v>
      </c>
      <c r="D28" s="8">
        <f>IF('Input-Output'!$B$11="Yes",B28,C28)</f>
        <v>5064</v>
      </c>
    </row>
    <row r="29" spans="1:4" x14ac:dyDescent="0.25">
      <c r="A29" t="s">
        <v>11</v>
      </c>
      <c r="B29" s="8">
        <v>9304</v>
      </c>
      <c r="C29" s="8">
        <v>4921</v>
      </c>
      <c r="D29" s="8">
        <f>IF('Input-Output'!$B$11="Yes",B29,C29)</f>
        <v>9304</v>
      </c>
    </row>
    <row r="30" spans="1:4" x14ac:dyDescent="0.25">
      <c r="A30" t="s">
        <v>12</v>
      </c>
      <c r="B30" s="8">
        <v>12695</v>
      </c>
      <c r="C30" s="8">
        <v>7077</v>
      </c>
      <c r="D30" s="8">
        <f>IF('Input-Output'!$B$11="Yes",B30,C30)</f>
        <v>12695</v>
      </c>
    </row>
    <row r="31" spans="1:4" x14ac:dyDescent="0.25">
      <c r="A31" t="s">
        <v>54</v>
      </c>
      <c r="B31" s="7"/>
      <c r="C31" s="7"/>
      <c r="D31" s="2">
        <v>1076</v>
      </c>
    </row>
    <row r="33" spans="1:3" x14ac:dyDescent="0.25">
      <c r="A33" s="3" t="s">
        <v>59</v>
      </c>
      <c r="B33" s="7"/>
    </row>
    <row r="34" spans="1:3" x14ac:dyDescent="0.25">
      <c r="A34" t="s">
        <v>51</v>
      </c>
      <c r="B34" s="8">
        <f>SUMPRODUCT(D18:D20,'Input-Output'!$B$8:$B$10)+SUM('Input-Output'!$B$8:$B$10)*D21</f>
        <v>15946.206000000006</v>
      </c>
      <c r="C34" s="2" t="s">
        <v>60</v>
      </c>
    </row>
    <row r="35" spans="1:3" x14ac:dyDescent="0.25">
      <c r="A35" t="s">
        <v>52</v>
      </c>
      <c r="B35" s="8">
        <f>SUMPRODUCT(D23:D25,'Input-Output'!$B$8:$B$10)+SUM('Input-Output'!$B$8:$B$10)*D26</f>
        <v>228731.13135149993</v>
      </c>
      <c r="C35" s="2" t="s">
        <v>61</v>
      </c>
    </row>
    <row r="36" spans="1:3" x14ac:dyDescent="0.25">
      <c r="A36" t="s">
        <v>53</v>
      </c>
      <c r="B36" s="8">
        <f>SUMPRODUCT(D28:D30,'Input-Output'!$B$8:$B$10)+SUM('Input-Output'!$B$8:$B$10)*D31</f>
        <v>2147265</v>
      </c>
      <c r="C36" s="2" t="s">
        <v>62</v>
      </c>
    </row>
    <row r="38" spans="1:3" x14ac:dyDescent="0.25">
      <c r="A38" s="3" t="s">
        <v>58</v>
      </c>
    </row>
    <row r="39" spans="1:3" x14ac:dyDescent="0.25">
      <c r="A39" t="s">
        <v>27</v>
      </c>
      <c r="B39" s="2">
        <v>264</v>
      </c>
      <c r="C39" s="2" t="s">
        <v>28</v>
      </c>
    </row>
    <row r="40" spans="1:3" x14ac:dyDescent="0.25">
      <c r="A40" t="s">
        <v>29</v>
      </c>
      <c r="B40" s="2">
        <v>67</v>
      </c>
      <c r="C40" s="2" t="s">
        <v>28</v>
      </c>
    </row>
    <row r="41" spans="1:3" x14ac:dyDescent="0.25">
      <c r="A41" t="s">
        <v>30</v>
      </c>
      <c r="B41" s="2">
        <v>53</v>
      </c>
      <c r="C41" s="2" t="s">
        <v>28</v>
      </c>
    </row>
    <row r="42" spans="1:3" x14ac:dyDescent="0.25">
      <c r="A42" t="s">
        <v>32</v>
      </c>
      <c r="B42" s="7">
        <v>8.23</v>
      </c>
      <c r="C42" s="2" t="s">
        <v>31</v>
      </c>
    </row>
    <row r="44" spans="1:3" x14ac:dyDescent="0.25">
      <c r="A44" s="3" t="s">
        <v>55</v>
      </c>
    </row>
    <row r="45" spans="1:3" x14ac:dyDescent="0.25">
      <c r="A45" s="14" t="s">
        <v>35</v>
      </c>
      <c r="B45" s="8">
        <f>(-2587.3*'Input-Output'!B4^2+4693.8*'Input-Output'!B4-1244.7)*'Input-Output'!B7</f>
        <v>827.91523238499997</v>
      </c>
      <c r="C45" s="2" t="s">
        <v>8</v>
      </c>
    </row>
    <row r="46" spans="1:3" x14ac:dyDescent="0.25">
      <c r="A46" t="s">
        <v>13</v>
      </c>
      <c r="B46" s="15">
        <f>-1.5244*'Input-Output'!B4^2+2.754*'Input-Output'!B4-0.6997+0.09358*LN('Input-Output'!B7)</f>
        <v>0.53107396591121303</v>
      </c>
    </row>
    <row r="47" spans="1:3" x14ac:dyDescent="0.25">
      <c r="A47" t="s">
        <v>17</v>
      </c>
      <c r="B47" s="8">
        <f>B45/B46*3.6</f>
        <v>5612.2028717263283</v>
      </c>
      <c r="C47" s="2" t="s">
        <v>21</v>
      </c>
    </row>
    <row r="48" spans="1:3" x14ac:dyDescent="0.25">
      <c r="A48" t="s">
        <v>20</v>
      </c>
      <c r="B48" s="7">
        <f>'Input-Output'!B5*B47/1000</f>
        <v>8.1938161927204405</v>
      </c>
      <c r="C48" s="2" t="s">
        <v>22</v>
      </c>
    </row>
    <row r="49" spans="1:3" x14ac:dyDescent="0.25">
      <c r="A49" s="14" t="s">
        <v>33</v>
      </c>
      <c r="B49" s="7">
        <f>0.00353*B45</f>
        <v>2.92254077031905</v>
      </c>
      <c r="C49" s="2" t="s">
        <v>22</v>
      </c>
    </row>
    <row r="50" spans="1:3" x14ac:dyDescent="0.25">
      <c r="A50" t="s">
        <v>24</v>
      </c>
      <c r="B50" s="7">
        <f>0.05737*B47*(1-'Input-Output'!B4)</f>
        <v>7.4053578112716139</v>
      </c>
      <c r="C50" s="2" t="s">
        <v>25</v>
      </c>
    </row>
    <row r="51" spans="1:3" x14ac:dyDescent="0.25">
      <c r="A51" t="s">
        <v>36</v>
      </c>
      <c r="B51" s="7">
        <f>0.00219*992*'Input-Output'!B7</f>
        <v>2.0638559999999999</v>
      </c>
      <c r="C51" s="2" t="s">
        <v>22</v>
      </c>
    </row>
    <row r="52" spans="1:3" x14ac:dyDescent="0.25">
      <c r="A52" t="s">
        <v>26</v>
      </c>
      <c r="B52" s="7">
        <f>SUM(B48:B51)</f>
        <v>20.585570774311105</v>
      </c>
      <c r="C52" s="2" t="s">
        <v>22</v>
      </c>
    </row>
    <row r="53" spans="1:3" x14ac:dyDescent="0.25">
      <c r="B53" s="7"/>
    </row>
    <row r="54" spans="1:3" hidden="1" x14ac:dyDescent="0.25"/>
    <row r="55" spans="1:3" hidden="1" x14ac:dyDescent="0.25">
      <c r="A55" t="s">
        <v>40</v>
      </c>
    </row>
    <row r="56" spans="1:3" hidden="1" x14ac:dyDescent="0.25">
      <c r="A56" t="s">
        <v>38</v>
      </c>
    </row>
    <row r="57" spans="1:3" hidden="1" x14ac:dyDescent="0.25">
      <c r="A57" t="s">
        <v>39</v>
      </c>
    </row>
    <row r="58" spans="1:3" hidden="1" x14ac:dyDescent="0.25"/>
  </sheetData>
  <sheetProtection algorithmName="SHA-512" hashValue="Ini4tZIoN2UgUu8/63fFeKw82V9gPAwqQ73uldWRvFiRc9ITpLtxhxdn+Q5Yl8zVmBRAGgG5NeMItUZeeWdCuQ==" saltValue="Exv4cCWyMzTtW6NqlP79Yw==" spinCount="100000" sheet="1" objects="1" scenarios="1" formatCells="0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Input-Output</vt:lpstr>
      <vt:lpstr>Data &amp; 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</dc:creator>
  <cp:lastModifiedBy>Ryan</cp:lastModifiedBy>
  <dcterms:created xsi:type="dcterms:W3CDTF">2024-03-02T23:41:56Z</dcterms:created>
  <dcterms:modified xsi:type="dcterms:W3CDTF">2024-03-21T23:45:23Z</dcterms:modified>
</cp:coreProperties>
</file>