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s.leeds.ac.uk\staff\staff12\prehga\Documents\Faculty\REF\REF2021\REF 2\Open Access\Individual\Gale\"/>
    </mc:Choice>
  </mc:AlternateContent>
  <bookViews>
    <workbookView xWindow="0" yWindow="0" windowWidth="20460" windowHeight="7455" activeTab="6"/>
  </bookViews>
  <sheets>
    <sheet name="Summary" sheetId="16" r:id="rId1"/>
    <sheet name="Pulp paper demand" sheetId="9" r:id="rId2"/>
    <sheet name="Heat and Power demand" sheetId="10" r:id="rId3"/>
    <sheet name="Sawmills demand" sheetId="4" r:id="rId4"/>
    <sheet name="Biomass_availability" sheetId="7" r:id="rId5"/>
    <sheet name="Waste_availability" sheetId="8" r:id="rId6"/>
    <sheet name="Feedstock cost" sheetId="14" r:id="rId7"/>
    <sheet name="Upgrading Technology Cost" sheetId="13" r:id="rId8"/>
    <sheet name="PPP" sheetId="11" r:id="rId9"/>
    <sheet name="Fossil_Steel_substitution" sheetId="3" r:id="rId10"/>
    <sheet name="Fossil_Steel" sheetId="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7" l="1"/>
  <c r="B40" i="7"/>
  <c r="I4" i="13" l="1"/>
  <c r="I6" i="13" l="1"/>
  <c r="I8" i="13" l="1"/>
  <c r="D32" i="14" l="1"/>
  <c r="E32" i="14"/>
  <c r="F32" i="14"/>
  <c r="G32" i="14"/>
  <c r="H32" i="14"/>
  <c r="I32" i="14"/>
  <c r="J32" i="14"/>
  <c r="K32" i="14"/>
  <c r="L32" i="14"/>
  <c r="M32" i="14"/>
  <c r="N32" i="14"/>
  <c r="O32" i="14"/>
  <c r="P32" i="14"/>
  <c r="C32" i="14"/>
  <c r="I5" i="13"/>
  <c r="K4" i="13" l="1"/>
  <c r="I7" i="13"/>
  <c r="I9" i="13" s="1"/>
  <c r="I11" i="13" s="1"/>
  <c r="I10" i="13" s="1"/>
  <c r="L6" i="13"/>
  <c r="L7" i="13" s="1"/>
  <c r="J6" i="13"/>
  <c r="J7" i="13" s="1"/>
  <c r="L4" i="13"/>
  <c r="J4" i="13"/>
  <c r="L5" i="13" l="1"/>
  <c r="L9" i="13" s="1"/>
  <c r="L11" i="13" s="1"/>
  <c r="L10" i="13" s="1"/>
  <c r="L8" i="13"/>
  <c r="J5" i="13"/>
  <c r="J9" i="13" s="1"/>
  <c r="J11" i="13" s="1"/>
  <c r="J10" i="13" s="1"/>
  <c r="J8" i="13"/>
  <c r="K6" i="13"/>
  <c r="K7" i="13" s="1"/>
  <c r="K5" i="13"/>
  <c r="K9" i="13" s="1"/>
  <c r="K11" i="13" s="1"/>
  <c r="K10" i="13" s="1"/>
  <c r="P4" i="13" l="1"/>
  <c r="P5" i="13" s="1"/>
  <c r="Q4" i="13"/>
  <c r="Q5" i="13" s="1"/>
  <c r="R4" i="13"/>
  <c r="R5" i="13" s="1"/>
  <c r="O4" i="13"/>
  <c r="O5" i="13" s="1"/>
  <c r="K8" i="13"/>
  <c r="E14" i="10"/>
  <c r="F14" i="10" s="1"/>
  <c r="E30" i="10"/>
  <c r="F30" i="10" s="1"/>
  <c r="D4" i="10"/>
  <c r="E4" i="10" s="1"/>
  <c r="F4" i="10" s="1"/>
  <c r="D5" i="10"/>
  <c r="E5" i="10" s="1"/>
  <c r="F5" i="10" s="1"/>
  <c r="D6" i="10"/>
  <c r="E6" i="10" s="1"/>
  <c r="F6" i="10" s="1"/>
  <c r="D7" i="10"/>
  <c r="E7" i="10" s="1"/>
  <c r="F7" i="10" s="1"/>
  <c r="D8" i="10"/>
  <c r="E8" i="10" s="1"/>
  <c r="F8" i="10" s="1"/>
  <c r="D9" i="10"/>
  <c r="E9" i="10" s="1"/>
  <c r="F9" i="10" s="1"/>
  <c r="D10" i="10"/>
  <c r="E10" i="10" s="1"/>
  <c r="F10" i="10" s="1"/>
  <c r="D11" i="10"/>
  <c r="E11" i="10" s="1"/>
  <c r="F11" i="10" s="1"/>
  <c r="D12" i="10"/>
  <c r="E12" i="10" s="1"/>
  <c r="F12" i="10" s="1"/>
  <c r="D13" i="10"/>
  <c r="E13" i="10" s="1"/>
  <c r="F13" i="10" s="1"/>
  <c r="D14" i="10"/>
  <c r="D15" i="10"/>
  <c r="E15" i="10" s="1"/>
  <c r="F15" i="10" s="1"/>
  <c r="D16" i="10"/>
  <c r="E16" i="10" s="1"/>
  <c r="F16" i="10" s="1"/>
  <c r="D17" i="10"/>
  <c r="E17" i="10" s="1"/>
  <c r="F17" i="10" s="1"/>
  <c r="D18" i="10"/>
  <c r="E18" i="10" s="1"/>
  <c r="F18" i="10" s="1"/>
  <c r="D19" i="10"/>
  <c r="E19" i="10" s="1"/>
  <c r="F19" i="10" s="1"/>
  <c r="D20" i="10"/>
  <c r="E20" i="10" s="1"/>
  <c r="F20" i="10" s="1"/>
  <c r="D21" i="10"/>
  <c r="E21" i="10" s="1"/>
  <c r="F21" i="10" s="1"/>
  <c r="D22" i="10"/>
  <c r="E22" i="10" s="1"/>
  <c r="F22" i="10" s="1"/>
  <c r="D23" i="10"/>
  <c r="E23" i="10" s="1"/>
  <c r="F23" i="10" s="1"/>
  <c r="D24" i="10"/>
  <c r="E24" i="10" s="1"/>
  <c r="F24" i="10" s="1"/>
  <c r="D25" i="10"/>
  <c r="E25" i="10" s="1"/>
  <c r="F25" i="10" s="1"/>
  <c r="D26" i="10"/>
  <c r="E26" i="10" s="1"/>
  <c r="F26" i="10" s="1"/>
  <c r="D27" i="10"/>
  <c r="E27" i="10" s="1"/>
  <c r="F27" i="10" s="1"/>
  <c r="D28" i="10"/>
  <c r="E28" i="10" s="1"/>
  <c r="F28" i="10" s="1"/>
  <c r="D29" i="10"/>
  <c r="E29" i="10" s="1"/>
  <c r="F29" i="10" s="1"/>
  <c r="D30" i="10"/>
  <c r="D3" i="10"/>
  <c r="E3" i="10" s="1"/>
  <c r="C31" i="10"/>
  <c r="E31" i="10" l="1"/>
  <c r="F31" i="10" s="1"/>
  <c r="F3" i="10"/>
  <c r="D31" i="10"/>
  <c r="D4" i="9"/>
  <c r="E4" i="9" s="1"/>
  <c r="F4" i="9" s="1"/>
  <c r="D5" i="9"/>
  <c r="E5" i="9" s="1"/>
  <c r="F5" i="9" s="1"/>
  <c r="D6" i="9"/>
  <c r="E6" i="9" s="1"/>
  <c r="F6" i="9" s="1"/>
  <c r="D7" i="9"/>
  <c r="E7" i="9" s="1"/>
  <c r="F7" i="9" s="1"/>
  <c r="D8" i="9"/>
  <c r="E8" i="9" s="1"/>
  <c r="F8" i="9" s="1"/>
  <c r="D9" i="9"/>
  <c r="E9" i="9" s="1"/>
  <c r="F9" i="9" s="1"/>
  <c r="D10" i="9"/>
  <c r="E10" i="9" s="1"/>
  <c r="F10" i="9" s="1"/>
  <c r="D11" i="9"/>
  <c r="E11" i="9" s="1"/>
  <c r="F11" i="9" s="1"/>
  <c r="D12" i="9"/>
  <c r="E12" i="9" s="1"/>
  <c r="F12" i="9" s="1"/>
  <c r="D13" i="9"/>
  <c r="E13" i="9" s="1"/>
  <c r="F13" i="9" s="1"/>
  <c r="D14" i="9"/>
  <c r="E14" i="9" s="1"/>
  <c r="F14" i="9" s="1"/>
  <c r="D15" i="9"/>
  <c r="E15" i="9" s="1"/>
  <c r="F15" i="9" s="1"/>
  <c r="D16" i="9"/>
  <c r="E16" i="9" s="1"/>
  <c r="F16" i="9" s="1"/>
  <c r="D17" i="9"/>
  <c r="E17" i="9" s="1"/>
  <c r="F17" i="9" s="1"/>
  <c r="D18" i="9"/>
  <c r="E18" i="9" s="1"/>
  <c r="F18" i="9" s="1"/>
  <c r="D19" i="9"/>
  <c r="E19" i="9" s="1"/>
  <c r="F19" i="9" s="1"/>
  <c r="D20" i="9"/>
  <c r="E20" i="9" s="1"/>
  <c r="F20" i="9" s="1"/>
  <c r="D21" i="9"/>
  <c r="E21" i="9" s="1"/>
  <c r="F21" i="9" s="1"/>
  <c r="D22" i="9"/>
  <c r="E22" i="9" s="1"/>
  <c r="F22" i="9" s="1"/>
  <c r="D23" i="9"/>
  <c r="E23" i="9" s="1"/>
  <c r="F23" i="9" s="1"/>
  <c r="D24" i="9"/>
  <c r="E24" i="9" s="1"/>
  <c r="F24" i="9" s="1"/>
  <c r="D25" i="9"/>
  <c r="E25" i="9" s="1"/>
  <c r="F25" i="9" s="1"/>
  <c r="D26" i="9"/>
  <c r="E26" i="9" s="1"/>
  <c r="F26" i="9" s="1"/>
  <c r="D27" i="9"/>
  <c r="E27" i="9" s="1"/>
  <c r="F27" i="9" s="1"/>
  <c r="D28" i="9"/>
  <c r="E28" i="9" s="1"/>
  <c r="F28" i="9" s="1"/>
  <c r="D29" i="9"/>
  <c r="E29" i="9" s="1"/>
  <c r="F29" i="9" s="1"/>
  <c r="D30" i="9"/>
  <c r="E30" i="9" s="1"/>
  <c r="F30" i="9" s="1"/>
  <c r="D3" i="9"/>
  <c r="E3" i="9" s="1"/>
  <c r="C31" i="9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11" i="8"/>
  <c r="C39" i="8"/>
  <c r="D39" i="8"/>
  <c r="E39" i="8"/>
  <c r="B39" i="8"/>
  <c r="G12" i="8"/>
  <c r="H12" i="8"/>
  <c r="J12" i="8"/>
  <c r="G13" i="8"/>
  <c r="H13" i="8"/>
  <c r="J13" i="8"/>
  <c r="G14" i="8"/>
  <c r="H14" i="8"/>
  <c r="J14" i="8"/>
  <c r="G15" i="8"/>
  <c r="H15" i="8"/>
  <c r="J15" i="8"/>
  <c r="G16" i="8"/>
  <c r="H16" i="8"/>
  <c r="J16" i="8"/>
  <c r="G17" i="8"/>
  <c r="H17" i="8"/>
  <c r="J17" i="8"/>
  <c r="G18" i="8"/>
  <c r="H18" i="8"/>
  <c r="J18" i="8"/>
  <c r="G19" i="8"/>
  <c r="H19" i="8"/>
  <c r="J19" i="8"/>
  <c r="G20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J31" i="8"/>
  <c r="G32" i="8"/>
  <c r="H32" i="8"/>
  <c r="J32" i="8"/>
  <c r="G33" i="8"/>
  <c r="H33" i="8"/>
  <c r="J33" i="8"/>
  <c r="G34" i="8"/>
  <c r="H34" i="8"/>
  <c r="J34" i="8"/>
  <c r="G35" i="8"/>
  <c r="H35" i="8"/>
  <c r="J35" i="8"/>
  <c r="G36" i="8"/>
  <c r="H36" i="8"/>
  <c r="J36" i="8"/>
  <c r="G37" i="8"/>
  <c r="H37" i="8"/>
  <c r="J37" i="8"/>
  <c r="G38" i="8"/>
  <c r="H38" i="8"/>
  <c r="J38" i="8"/>
  <c r="H11" i="8"/>
  <c r="H39" i="8" s="1"/>
  <c r="J11" i="8"/>
  <c r="G11" i="8"/>
  <c r="G39" i="8" s="1"/>
  <c r="M5" i="7"/>
  <c r="X5" i="7" s="1"/>
  <c r="N5" i="7"/>
  <c r="Y5" i="7" s="1"/>
  <c r="O5" i="7"/>
  <c r="Z5" i="7" s="1"/>
  <c r="P5" i="7"/>
  <c r="AA5" i="7" s="1"/>
  <c r="Q5" i="7"/>
  <c r="AB5" i="7" s="1"/>
  <c r="R5" i="7"/>
  <c r="AC5" i="7" s="1"/>
  <c r="S5" i="7"/>
  <c r="AD5" i="7" s="1"/>
  <c r="T5" i="7"/>
  <c r="AE5" i="7" s="1"/>
  <c r="U5" i="7"/>
  <c r="AF5" i="7" s="1"/>
  <c r="V5" i="7"/>
  <c r="AG5" i="7" s="1"/>
  <c r="M6" i="7"/>
  <c r="X6" i="7" s="1"/>
  <c r="N6" i="7"/>
  <c r="Y6" i="7" s="1"/>
  <c r="O6" i="7"/>
  <c r="Z6" i="7" s="1"/>
  <c r="P6" i="7"/>
  <c r="AA6" i="7" s="1"/>
  <c r="Q6" i="7"/>
  <c r="AB6" i="7" s="1"/>
  <c r="R6" i="7"/>
  <c r="AC6" i="7" s="1"/>
  <c r="S6" i="7"/>
  <c r="AD6" i="7" s="1"/>
  <c r="T6" i="7"/>
  <c r="AE6" i="7" s="1"/>
  <c r="U6" i="7"/>
  <c r="AF6" i="7" s="1"/>
  <c r="V6" i="7"/>
  <c r="AG6" i="7" s="1"/>
  <c r="M7" i="7"/>
  <c r="X7" i="7" s="1"/>
  <c r="N7" i="7"/>
  <c r="Y7" i="7" s="1"/>
  <c r="O7" i="7"/>
  <c r="Z7" i="7" s="1"/>
  <c r="P7" i="7"/>
  <c r="AA7" i="7" s="1"/>
  <c r="Q7" i="7"/>
  <c r="AB7" i="7" s="1"/>
  <c r="R7" i="7"/>
  <c r="AC7" i="7" s="1"/>
  <c r="S7" i="7"/>
  <c r="AD7" i="7" s="1"/>
  <c r="T7" i="7"/>
  <c r="AE7" i="7" s="1"/>
  <c r="U7" i="7"/>
  <c r="AF7" i="7" s="1"/>
  <c r="V7" i="7"/>
  <c r="AG7" i="7" s="1"/>
  <c r="M8" i="7"/>
  <c r="X8" i="7" s="1"/>
  <c r="N8" i="7"/>
  <c r="Y8" i="7" s="1"/>
  <c r="O8" i="7"/>
  <c r="Z8" i="7" s="1"/>
  <c r="P8" i="7"/>
  <c r="AA8" i="7" s="1"/>
  <c r="Q8" i="7"/>
  <c r="AB8" i="7" s="1"/>
  <c r="R8" i="7"/>
  <c r="AC8" i="7" s="1"/>
  <c r="S8" i="7"/>
  <c r="AD8" i="7" s="1"/>
  <c r="T8" i="7"/>
  <c r="AE8" i="7" s="1"/>
  <c r="U8" i="7"/>
  <c r="AF8" i="7" s="1"/>
  <c r="V8" i="7"/>
  <c r="AG8" i="7" s="1"/>
  <c r="M9" i="7"/>
  <c r="X9" i="7" s="1"/>
  <c r="N9" i="7"/>
  <c r="Y9" i="7" s="1"/>
  <c r="O9" i="7"/>
  <c r="Z9" i="7" s="1"/>
  <c r="P9" i="7"/>
  <c r="AA9" i="7" s="1"/>
  <c r="Q9" i="7"/>
  <c r="AB9" i="7" s="1"/>
  <c r="R9" i="7"/>
  <c r="AC9" i="7" s="1"/>
  <c r="S9" i="7"/>
  <c r="AD9" i="7" s="1"/>
  <c r="T9" i="7"/>
  <c r="AE9" i="7" s="1"/>
  <c r="U9" i="7"/>
  <c r="AF9" i="7" s="1"/>
  <c r="V9" i="7"/>
  <c r="AG9" i="7" s="1"/>
  <c r="M10" i="7"/>
  <c r="X10" i="7" s="1"/>
  <c r="N10" i="7"/>
  <c r="Y10" i="7" s="1"/>
  <c r="O10" i="7"/>
  <c r="Z10" i="7" s="1"/>
  <c r="P10" i="7"/>
  <c r="AA10" i="7" s="1"/>
  <c r="Q10" i="7"/>
  <c r="AB10" i="7" s="1"/>
  <c r="R10" i="7"/>
  <c r="AC10" i="7" s="1"/>
  <c r="S10" i="7"/>
  <c r="AD10" i="7" s="1"/>
  <c r="T10" i="7"/>
  <c r="AE10" i="7" s="1"/>
  <c r="U10" i="7"/>
  <c r="AF10" i="7" s="1"/>
  <c r="V10" i="7"/>
  <c r="AG10" i="7" s="1"/>
  <c r="M11" i="7"/>
  <c r="X11" i="7" s="1"/>
  <c r="N11" i="7"/>
  <c r="Y11" i="7" s="1"/>
  <c r="O11" i="7"/>
  <c r="Z11" i="7" s="1"/>
  <c r="P11" i="7"/>
  <c r="AA11" i="7" s="1"/>
  <c r="Q11" i="7"/>
  <c r="AB11" i="7" s="1"/>
  <c r="R11" i="7"/>
  <c r="AC11" i="7" s="1"/>
  <c r="S11" i="7"/>
  <c r="AD11" i="7" s="1"/>
  <c r="T11" i="7"/>
  <c r="AE11" i="7" s="1"/>
  <c r="U11" i="7"/>
  <c r="AF11" i="7" s="1"/>
  <c r="V11" i="7"/>
  <c r="AG11" i="7" s="1"/>
  <c r="M12" i="7"/>
  <c r="X12" i="7" s="1"/>
  <c r="N12" i="7"/>
  <c r="Y12" i="7" s="1"/>
  <c r="O12" i="7"/>
  <c r="Z12" i="7" s="1"/>
  <c r="P12" i="7"/>
  <c r="AA12" i="7" s="1"/>
  <c r="Q12" i="7"/>
  <c r="AB12" i="7" s="1"/>
  <c r="R12" i="7"/>
  <c r="AC12" i="7" s="1"/>
  <c r="S12" i="7"/>
  <c r="AD12" i="7" s="1"/>
  <c r="T12" i="7"/>
  <c r="AE12" i="7" s="1"/>
  <c r="U12" i="7"/>
  <c r="AF12" i="7" s="1"/>
  <c r="V12" i="7"/>
  <c r="AG12" i="7" s="1"/>
  <c r="M13" i="7"/>
  <c r="X13" i="7" s="1"/>
  <c r="N13" i="7"/>
  <c r="Y13" i="7" s="1"/>
  <c r="O13" i="7"/>
  <c r="Z13" i="7" s="1"/>
  <c r="P13" i="7"/>
  <c r="AA13" i="7" s="1"/>
  <c r="Q13" i="7"/>
  <c r="AB13" i="7" s="1"/>
  <c r="R13" i="7"/>
  <c r="AC13" i="7" s="1"/>
  <c r="S13" i="7"/>
  <c r="AD13" i="7" s="1"/>
  <c r="T13" i="7"/>
  <c r="AE13" i="7" s="1"/>
  <c r="U13" i="7"/>
  <c r="AF13" i="7" s="1"/>
  <c r="V13" i="7"/>
  <c r="AG13" i="7" s="1"/>
  <c r="M14" i="7"/>
  <c r="X14" i="7" s="1"/>
  <c r="N14" i="7"/>
  <c r="Y14" i="7" s="1"/>
  <c r="O14" i="7"/>
  <c r="Z14" i="7" s="1"/>
  <c r="P14" i="7"/>
  <c r="AA14" i="7" s="1"/>
  <c r="Q14" i="7"/>
  <c r="AB14" i="7" s="1"/>
  <c r="R14" i="7"/>
  <c r="AC14" i="7" s="1"/>
  <c r="S14" i="7"/>
  <c r="AD14" i="7" s="1"/>
  <c r="T14" i="7"/>
  <c r="AE14" i="7" s="1"/>
  <c r="U14" i="7"/>
  <c r="AF14" i="7" s="1"/>
  <c r="V14" i="7"/>
  <c r="AG14" i="7" s="1"/>
  <c r="M16" i="7"/>
  <c r="X16" i="7" s="1"/>
  <c r="N16" i="7"/>
  <c r="Y16" i="7" s="1"/>
  <c r="O16" i="7"/>
  <c r="Z16" i="7" s="1"/>
  <c r="P16" i="7"/>
  <c r="AA16" i="7" s="1"/>
  <c r="Q16" i="7"/>
  <c r="AB16" i="7" s="1"/>
  <c r="R16" i="7"/>
  <c r="AC16" i="7" s="1"/>
  <c r="S16" i="7"/>
  <c r="AD16" i="7" s="1"/>
  <c r="T16" i="7"/>
  <c r="AE16" i="7" s="1"/>
  <c r="U16" i="7"/>
  <c r="AF16" i="7" s="1"/>
  <c r="V16" i="7"/>
  <c r="AG16" i="7" s="1"/>
  <c r="M17" i="7"/>
  <c r="X17" i="7" s="1"/>
  <c r="N17" i="7"/>
  <c r="Y17" i="7" s="1"/>
  <c r="O17" i="7"/>
  <c r="Z17" i="7" s="1"/>
  <c r="P17" i="7"/>
  <c r="AA17" i="7" s="1"/>
  <c r="Q17" i="7"/>
  <c r="AB17" i="7" s="1"/>
  <c r="R17" i="7"/>
  <c r="AC17" i="7" s="1"/>
  <c r="S17" i="7"/>
  <c r="AD17" i="7" s="1"/>
  <c r="T17" i="7"/>
  <c r="AE17" i="7" s="1"/>
  <c r="U17" i="7"/>
  <c r="AF17" i="7" s="1"/>
  <c r="V17" i="7"/>
  <c r="AG17" i="7" s="1"/>
  <c r="M18" i="7"/>
  <c r="X18" i="7" s="1"/>
  <c r="N18" i="7"/>
  <c r="Y18" i="7" s="1"/>
  <c r="O18" i="7"/>
  <c r="Z18" i="7" s="1"/>
  <c r="P18" i="7"/>
  <c r="AA18" i="7" s="1"/>
  <c r="Q18" i="7"/>
  <c r="AB18" i="7" s="1"/>
  <c r="R18" i="7"/>
  <c r="AC18" i="7" s="1"/>
  <c r="S18" i="7"/>
  <c r="AD18" i="7" s="1"/>
  <c r="T18" i="7"/>
  <c r="AE18" i="7" s="1"/>
  <c r="U18" i="7"/>
  <c r="AF18" i="7" s="1"/>
  <c r="V18" i="7"/>
  <c r="AG18" i="7" s="1"/>
  <c r="M19" i="7"/>
  <c r="X19" i="7" s="1"/>
  <c r="N19" i="7"/>
  <c r="Y19" i="7" s="1"/>
  <c r="O19" i="7"/>
  <c r="Z19" i="7" s="1"/>
  <c r="P19" i="7"/>
  <c r="AA19" i="7" s="1"/>
  <c r="Q19" i="7"/>
  <c r="AB19" i="7" s="1"/>
  <c r="R19" i="7"/>
  <c r="AC19" i="7" s="1"/>
  <c r="S19" i="7"/>
  <c r="AD19" i="7" s="1"/>
  <c r="T19" i="7"/>
  <c r="AE19" i="7" s="1"/>
  <c r="U19" i="7"/>
  <c r="AF19" i="7" s="1"/>
  <c r="V19" i="7"/>
  <c r="AG19" i="7" s="1"/>
  <c r="M20" i="7"/>
  <c r="X20" i="7" s="1"/>
  <c r="N20" i="7"/>
  <c r="Y20" i="7" s="1"/>
  <c r="O20" i="7"/>
  <c r="Z20" i="7" s="1"/>
  <c r="P20" i="7"/>
  <c r="AA20" i="7" s="1"/>
  <c r="Q20" i="7"/>
  <c r="AB20" i="7" s="1"/>
  <c r="R20" i="7"/>
  <c r="AC20" i="7" s="1"/>
  <c r="S20" i="7"/>
  <c r="AD20" i="7" s="1"/>
  <c r="T20" i="7"/>
  <c r="AE20" i="7" s="1"/>
  <c r="U20" i="7"/>
  <c r="AF20" i="7" s="1"/>
  <c r="V20" i="7"/>
  <c r="AG20" i="7" s="1"/>
  <c r="M21" i="7"/>
  <c r="X21" i="7" s="1"/>
  <c r="N21" i="7"/>
  <c r="Y21" i="7" s="1"/>
  <c r="O21" i="7"/>
  <c r="Z21" i="7" s="1"/>
  <c r="P21" i="7"/>
  <c r="AA21" i="7" s="1"/>
  <c r="Q21" i="7"/>
  <c r="AB21" i="7" s="1"/>
  <c r="R21" i="7"/>
  <c r="AC21" i="7" s="1"/>
  <c r="S21" i="7"/>
  <c r="AD21" i="7" s="1"/>
  <c r="T21" i="7"/>
  <c r="AE21" i="7" s="1"/>
  <c r="U21" i="7"/>
  <c r="AF21" i="7" s="1"/>
  <c r="V21" i="7"/>
  <c r="AG21" i="7" s="1"/>
  <c r="M22" i="7"/>
  <c r="X22" i="7" s="1"/>
  <c r="N22" i="7"/>
  <c r="Y22" i="7" s="1"/>
  <c r="O22" i="7"/>
  <c r="Z22" i="7" s="1"/>
  <c r="P22" i="7"/>
  <c r="AA22" i="7" s="1"/>
  <c r="Q22" i="7"/>
  <c r="AB22" i="7" s="1"/>
  <c r="R22" i="7"/>
  <c r="AC22" i="7" s="1"/>
  <c r="S22" i="7"/>
  <c r="AD22" i="7" s="1"/>
  <c r="T22" i="7"/>
  <c r="AE22" i="7" s="1"/>
  <c r="U22" i="7"/>
  <c r="AF22" i="7" s="1"/>
  <c r="V22" i="7"/>
  <c r="AG22" i="7" s="1"/>
  <c r="M23" i="7"/>
  <c r="X23" i="7" s="1"/>
  <c r="N23" i="7"/>
  <c r="Y23" i="7" s="1"/>
  <c r="O23" i="7"/>
  <c r="Z23" i="7" s="1"/>
  <c r="P23" i="7"/>
  <c r="AA23" i="7" s="1"/>
  <c r="Q23" i="7"/>
  <c r="AB23" i="7" s="1"/>
  <c r="R23" i="7"/>
  <c r="AC23" i="7" s="1"/>
  <c r="S23" i="7"/>
  <c r="AD23" i="7" s="1"/>
  <c r="T23" i="7"/>
  <c r="AE23" i="7" s="1"/>
  <c r="U23" i="7"/>
  <c r="AF23" i="7" s="1"/>
  <c r="V23" i="7"/>
  <c r="AG23" i="7" s="1"/>
  <c r="M24" i="7"/>
  <c r="X24" i="7" s="1"/>
  <c r="N24" i="7"/>
  <c r="Y24" i="7" s="1"/>
  <c r="O24" i="7"/>
  <c r="Z24" i="7" s="1"/>
  <c r="P24" i="7"/>
  <c r="AA24" i="7" s="1"/>
  <c r="Q24" i="7"/>
  <c r="AB24" i="7" s="1"/>
  <c r="R24" i="7"/>
  <c r="AC24" i="7" s="1"/>
  <c r="S24" i="7"/>
  <c r="AD24" i="7" s="1"/>
  <c r="T24" i="7"/>
  <c r="AE24" i="7" s="1"/>
  <c r="U24" i="7"/>
  <c r="AF24" i="7" s="1"/>
  <c r="V24" i="7"/>
  <c r="AG24" i="7" s="1"/>
  <c r="M25" i="7"/>
  <c r="X25" i="7" s="1"/>
  <c r="N25" i="7"/>
  <c r="Y25" i="7" s="1"/>
  <c r="O25" i="7"/>
  <c r="Z25" i="7" s="1"/>
  <c r="P25" i="7"/>
  <c r="AA25" i="7" s="1"/>
  <c r="Q25" i="7"/>
  <c r="AB25" i="7" s="1"/>
  <c r="R25" i="7"/>
  <c r="AC25" i="7" s="1"/>
  <c r="S25" i="7"/>
  <c r="AD25" i="7" s="1"/>
  <c r="T25" i="7"/>
  <c r="AE25" i="7" s="1"/>
  <c r="U25" i="7"/>
  <c r="AF25" i="7" s="1"/>
  <c r="V25" i="7"/>
  <c r="AG25" i="7" s="1"/>
  <c r="M26" i="7"/>
  <c r="X26" i="7" s="1"/>
  <c r="N26" i="7"/>
  <c r="Y26" i="7" s="1"/>
  <c r="O26" i="7"/>
  <c r="Z26" i="7" s="1"/>
  <c r="P26" i="7"/>
  <c r="AA26" i="7" s="1"/>
  <c r="Q26" i="7"/>
  <c r="AB26" i="7" s="1"/>
  <c r="R26" i="7"/>
  <c r="AC26" i="7" s="1"/>
  <c r="S26" i="7"/>
  <c r="AD26" i="7" s="1"/>
  <c r="T26" i="7"/>
  <c r="AE26" i="7" s="1"/>
  <c r="U26" i="7"/>
  <c r="AF26" i="7" s="1"/>
  <c r="V26" i="7"/>
  <c r="AG26" i="7" s="1"/>
  <c r="M27" i="7"/>
  <c r="X27" i="7" s="1"/>
  <c r="N27" i="7"/>
  <c r="Y27" i="7" s="1"/>
  <c r="O27" i="7"/>
  <c r="Z27" i="7" s="1"/>
  <c r="P27" i="7"/>
  <c r="AA27" i="7" s="1"/>
  <c r="Q27" i="7"/>
  <c r="AB27" i="7" s="1"/>
  <c r="R27" i="7"/>
  <c r="AC27" i="7" s="1"/>
  <c r="S27" i="7"/>
  <c r="AD27" i="7" s="1"/>
  <c r="T27" i="7"/>
  <c r="AE27" i="7" s="1"/>
  <c r="U27" i="7"/>
  <c r="AF27" i="7" s="1"/>
  <c r="V27" i="7"/>
  <c r="AG27" i="7" s="1"/>
  <c r="M28" i="7"/>
  <c r="X28" i="7" s="1"/>
  <c r="N28" i="7"/>
  <c r="Y28" i="7" s="1"/>
  <c r="O28" i="7"/>
  <c r="Z28" i="7" s="1"/>
  <c r="P28" i="7"/>
  <c r="AA28" i="7" s="1"/>
  <c r="Q28" i="7"/>
  <c r="AB28" i="7" s="1"/>
  <c r="R28" i="7"/>
  <c r="AC28" i="7" s="1"/>
  <c r="S28" i="7"/>
  <c r="AD28" i="7" s="1"/>
  <c r="T28" i="7"/>
  <c r="AE28" i="7" s="1"/>
  <c r="U28" i="7"/>
  <c r="AF28" i="7" s="1"/>
  <c r="V28" i="7"/>
  <c r="AG28" i="7" s="1"/>
  <c r="M29" i="7"/>
  <c r="X29" i="7" s="1"/>
  <c r="N29" i="7"/>
  <c r="Y29" i="7" s="1"/>
  <c r="O29" i="7"/>
  <c r="Z29" i="7" s="1"/>
  <c r="P29" i="7"/>
  <c r="AA29" i="7" s="1"/>
  <c r="Q29" i="7"/>
  <c r="AB29" i="7" s="1"/>
  <c r="R29" i="7"/>
  <c r="AC29" i="7" s="1"/>
  <c r="S29" i="7"/>
  <c r="AD29" i="7" s="1"/>
  <c r="T29" i="7"/>
  <c r="AE29" i="7" s="1"/>
  <c r="U29" i="7"/>
  <c r="AF29" i="7" s="1"/>
  <c r="V29" i="7"/>
  <c r="AG29" i="7" s="1"/>
  <c r="M30" i="7"/>
  <c r="X30" i="7" s="1"/>
  <c r="N30" i="7"/>
  <c r="Y30" i="7" s="1"/>
  <c r="O30" i="7"/>
  <c r="Z30" i="7" s="1"/>
  <c r="P30" i="7"/>
  <c r="AA30" i="7" s="1"/>
  <c r="Q30" i="7"/>
  <c r="AB30" i="7" s="1"/>
  <c r="R30" i="7"/>
  <c r="AC30" i="7" s="1"/>
  <c r="S30" i="7"/>
  <c r="AD30" i="7" s="1"/>
  <c r="T30" i="7"/>
  <c r="AE30" i="7" s="1"/>
  <c r="U30" i="7"/>
  <c r="AF30" i="7" s="1"/>
  <c r="V30" i="7"/>
  <c r="AG30" i="7" s="1"/>
  <c r="M31" i="7"/>
  <c r="X31" i="7" s="1"/>
  <c r="N31" i="7"/>
  <c r="Y31" i="7" s="1"/>
  <c r="O31" i="7"/>
  <c r="Z31" i="7" s="1"/>
  <c r="P31" i="7"/>
  <c r="AA31" i="7" s="1"/>
  <c r="Q31" i="7"/>
  <c r="AB31" i="7" s="1"/>
  <c r="R31" i="7"/>
  <c r="AC31" i="7" s="1"/>
  <c r="S31" i="7"/>
  <c r="AD31" i="7" s="1"/>
  <c r="T31" i="7"/>
  <c r="AE31" i="7" s="1"/>
  <c r="U31" i="7"/>
  <c r="AF31" i="7" s="1"/>
  <c r="V31" i="7"/>
  <c r="AG31" i="7" s="1"/>
  <c r="M15" i="7"/>
  <c r="X15" i="7" s="1"/>
  <c r="N15" i="7"/>
  <c r="Y15" i="7" s="1"/>
  <c r="O15" i="7"/>
  <c r="Z15" i="7" s="1"/>
  <c r="P15" i="7"/>
  <c r="AA15" i="7" s="1"/>
  <c r="Q15" i="7"/>
  <c r="AB15" i="7" s="1"/>
  <c r="R15" i="7"/>
  <c r="AC15" i="7" s="1"/>
  <c r="S15" i="7"/>
  <c r="AD15" i="7" s="1"/>
  <c r="T15" i="7"/>
  <c r="AE15" i="7" s="1"/>
  <c r="U15" i="7"/>
  <c r="AF15" i="7" s="1"/>
  <c r="V15" i="7"/>
  <c r="AG15" i="7" s="1"/>
  <c r="N4" i="7"/>
  <c r="Y4" i="7" s="1"/>
  <c r="Y32" i="7" s="1"/>
  <c r="Y33" i="7" s="1"/>
  <c r="O4" i="7"/>
  <c r="Z4" i="7" s="1"/>
  <c r="P4" i="7"/>
  <c r="AA4" i="7" s="1"/>
  <c r="AA32" i="7" s="1"/>
  <c r="AA33" i="7" s="1"/>
  <c r="Q4" i="7"/>
  <c r="AB4" i="7" s="1"/>
  <c r="R4" i="7"/>
  <c r="AC4" i="7" s="1"/>
  <c r="AC32" i="7" s="1"/>
  <c r="AC33" i="7" s="1"/>
  <c r="S4" i="7"/>
  <c r="AD4" i="7" s="1"/>
  <c r="T4" i="7"/>
  <c r="AE4" i="7" s="1"/>
  <c r="U4" i="7"/>
  <c r="AF4" i="7" s="1"/>
  <c r="AF32" i="7" s="1"/>
  <c r="AF33" i="7" s="1"/>
  <c r="V4" i="7"/>
  <c r="AG4" i="7" s="1"/>
  <c r="M4" i="7"/>
  <c r="X4" i="7" s="1"/>
  <c r="C32" i="7"/>
  <c r="D32" i="7"/>
  <c r="E32" i="7"/>
  <c r="E33" i="7" s="1"/>
  <c r="F32" i="7"/>
  <c r="F33" i="7" s="1"/>
  <c r="G32" i="7"/>
  <c r="G33" i="7" s="1"/>
  <c r="H32" i="7"/>
  <c r="H33" i="7" s="1"/>
  <c r="I32" i="7"/>
  <c r="I33" i="7" s="1"/>
  <c r="J32" i="7"/>
  <c r="J33" i="7" s="1"/>
  <c r="K32" i="7"/>
  <c r="K33" i="7" s="1"/>
  <c r="B32" i="7"/>
  <c r="AI4" i="7" l="1"/>
  <c r="X32" i="7"/>
  <c r="X33" i="7" s="1"/>
  <c r="AD32" i="7"/>
  <c r="AD33" i="7" s="1"/>
  <c r="Z32" i="7"/>
  <c r="Z33" i="7" s="1"/>
  <c r="AG32" i="7"/>
  <c r="AG33" i="7" s="1"/>
  <c r="AE32" i="7"/>
  <c r="AE33" i="7" s="1"/>
  <c r="AI31" i="7"/>
  <c r="AI29" i="7"/>
  <c r="AI27" i="7"/>
  <c r="AI25" i="7"/>
  <c r="AI23" i="7"/>
  <c r="AI21" i="7"/>
  <c r="AI19" i="7"/>
  <c r="AI17" i="7"/>
  <c r="AI14" i="7"/>
  <c r="AI12" i="7"/>
  <c r="AI10" i="7"/>
  <c r="AI8" i="7"/>
  <c r="AI6" i="7"/>
  <c r="J39" i="8"/>
  <c r="AB32" i="7"/>
  <c r="AB33" i="7" s="1"/>
  <c r="AI15" i="7"/>
  <c r="AI30" i="7"/>
  <c r="AI28" i="7"/>
  <c r="AI26" i="7"/>
  <c r="AI24" i="7"/>
  <c r="AI22" i="7"/>
  <c r="AI20" i="7"/>
  <c r="AI18" i="7"/>
  <c r="AI16" i="7"/>
  <c r="AI13" i="7"/>
  <c r="AI11" i="7"/>
  <c r="AI9" i="7"/>
  <c r="AI7" i="7"/>
  <c r="AI5" i="7"/>
  <c r="AH4" i="7"/>
  <c r="AH8" i="7"/>
  <c r="F3" i="9"/>
  <c r="F31" i="9" s="1"/>
  <c r="E31" i="9"/>
  <c r="AH27" i="7"/>
  <c r="AH23" i="7"/>
  <c r="AH19" i="7"/>
  <c r="AH15" i="7"/>
  <c r="AH30" i="7"/>
  <c r="AH29" i="7"/>
  <c r="AH28" i="7"/>
  <c r="AH26" i="7"/>
  <c r="AH25" i="7"/>
  <c r="AH24" i="7"/>
  <c r="AH22" i="7"/>
  <c r="AH21" i="7"/>
  <c r="AH20" i="7"/>
  <c r="AH18" i="7"/>
  <c r="AH17" i="7"/>
  <c r="AH16" i="7"/>
  <c r="AH13" i="7"/>
  <c r="AH11" i="7"/>
  <c r="AH9" i="7"/>
  <c r="AH7" i="7"/>
  <c r="AH5" i="7"/>
  <c r="AH12" i="7"/>
  <c r="AH31" i="7"/>
  <c r="AH14" i="7"/>
  <c r="AH10" i="7"/>
  <c r="AH6" i="7"/>
  <c r="D31" i="9"/>
  <c r="O32" i="7"/>
  <c r="O33" i="7" s="1"/>
  <c r="M32" i="7"/>
  <c r="M33" i="7" s="1"/>
  <c r="S32" i="7"/>
  <c r="S33" i="7" s="1"/>
  <c r="U32" i="7"/>
  <c r="U33" i="7" s="1"/>
  <c r="Q32" i="7"/>
  <c r="Q33" i="7" s="1"/>
  <c r="I39" i="8"/>
  <c r="V32" i="7"/>
  <c r="V33" i="7" s="1"/>
  <c r="R32" i="7"/>
  <c r="R33" i="7" s="1"/>
  <c r="N32" i="7"/>
  <c r="N33" i="7" s="1"/>
  <c r="T32" i="7"/>
  <c r="T33" i="7" s="1"/>
  <c r="P32" i="7"/>
  <c r="P33" i="7" s="1"/>
  <c r="AH32" i="7" l="1"/>
  <c r="AH33" i="7" s="1"/>
  <c r="AI32" i="7"/>
  <c r="AI33" i="7" s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6" i="4"/>
  <c r="L30" i="4" l="1"/>
  <c r="M30" i="4" s="1"/>
  <c r="L26" i="4"/>
  <c r="M26" i="4" s="1"/>
  <c r="L22" i="4"/>
  <c r="M22" i="4" s="1"/>
  <c r="L18" i="4"/>
  <c r="M18" i="4" s="1"/>
  <c r="L14" i="4"/>
  <c r="M14" i="4" s="1"/>
  <c r="L10" i="4"/>
  <c r="M10" i="4" s="1"/>
  <c r="L29" i="4"/>
  <c r="M29" i="4" s="1"/>
  <c r="L25" i="4"/>
  <c r="M25" i="4" s="1"/>
  <c r="L21" i="4"/>
  <c r="M21" i="4" s="1"/>
  <c r="L17" i="4"/>
  <c r="M17" i="4" s="1"/>
  <c r="L13" i="4"/>
  <c r="M13" i="4" s="1"/>
  <c r="L9" i="4"/>
  <c r="M9" i="4" s="1"/>
  <c r="L33" i="4"/>
  <c r="M33" i="4" s="1"/>
  <c r="L32" i="4"/>
  <c r="M32" i="4" s="1"/>
  <c r="L28" i="4"/>
  <c r="M28" i="4" s="1"/>
  <c r="L24" i="4"/>
  <c r="M24" i="4" s="1"/>
  <c r="L20" i="4"/>
  <c r="M20" i="4" s="1"/>
  <c r="L16" i="4"/>
  <c r="M16" i="4" s="1"/>
  <c r="L12" i="4"/>
  <c r="M12" i="4" s="1"/>
  <c r="L8" i="4"/>
  <c r="M8" i="4" s="1"/>
  <c r="L31" i="4"/>
  <c r="M31" i="4" s="1"/>
  <c r="L27" i="4"/>
  <c r="M27" i="4" s="1"/>
  <c r="L23" i="4"/>
  <c r="M23" i="4" s="1"/>
  <c r="L19" i="4"/>
  <c r="M19" i="4" s="1"/>
  <c r="L15" i="4"/>
  <c r="M15" i="4" s="1"/>
  <c r="L11" i="4"/>
  <c r="M11" i="4" s="1"/>
  <c r="L7" i="4"/>
  <c r="M7" i="4" s="1"/>
  <c r="L6" i="4"/>
  <c r="M6" i="4" s="1"/>
  <c r="G5" i="2"/>
  <c r="G4" i="2"/>
  <c r="F5" i="2"/>
  <c r="F3" i="2"/>
  <c r="B13" i="3" s="1"/>
  <c r="Z17" i="2"/>
  <c r="AF17" i="2" s="1"/>
  <c r="Z16" i="2"/>
  <c r="AF16" i="2" s="1"/>
  <c r="Z11" i="2"/>
  <c r="AF11" i="2" s="1"/>
  <c r="Z22" i="2"/>
  <c r="Z10" i="2"/>
  <c r="AF10" i="2" s="1"/>
  <c r="Q22" i="2"/>
  <c r="Q17" i="2"/>
  <c r="Q16" i="2"/>
  <c r="R16" i="2" s="1"/>
  <c r="Q11" i="2"/>
  <c r="Q10" i="2"/>
  <c r="AE17" i="2" l="1"/>
  <c r="AF18" i="2"/>
  <c r="AE22" i="2"/>
  <c r="AF22" i="2"/>
  <c r="AF12" i="2"/>
  <c r="AE11" i="2"/>
  <c r="AE16" i="2"/>
  <c r="AE10" i="2"/>
  <c r="R17" i="2"/>
  <c r="B14" i="3" s="1"/>
  <c r="M34" i="4"/>
  <c r="L34" i="4"/>
  <c r="AE18" i="2" l="1"/>
  <c r="AE12" i="2"/>
  <c r="H22" i="2"/>
  <c r="J22" i="2" s="1"/>
  <c r="H18" i="2"/>
  <c r="J18" i="2" s="1"/>
  <c r="H12" i="2"/>
  <c r="J12" i="2" s="1"/>
  <c r="O18" i="2"/>
  <c r="Q18" i="2" s="1"/>
  <c r="O12" i="2"/>
  <c r="Q12" i="2" s="1"/>
  <c r="I31" i="2" l="1"/>
  <c r="I32" i="2"/>
  <c r="R12" i="2"/>
  <c r="B32" i="2" s="1"/>
  <c r="R18" i="2"/>
  <c r="B31" i="2" s="1"/>
  <c r="R22" i="2"/>
  <c r="D15" i="3" s="1"/>
  <c r="J31" i="2" l="1"/>
  <c r="C32" i="2"/>
  <c r="AB18" i="2"/>
  <c r="AC18" i="2" s="1"/>
  <c r="E31" i="2" s="1"/>
  <c r="B12" i="3"/>
  <c r="AB12" i="2"/>
  <c r="AC12" i="2" s="1"/>
  <c r="E32" i="2" s="1"/>
  <c r="E15" i="3"/>
  <c r="C15" i="3"/>
  <c r="B15" i="3"/>
  <c r="AB22" i="2"/>
  <c r="AC22" i="2" s="1"/>
  <c r="F32" i="2" l="1"/>
  <c r="B17" i="3"/>
  <c r="C17" i="3"/>
</calcChain>
</file>

<file path=xl/sharedStrings.xml><?xml version="1.0" encoding="utf-8"?>
<sst xmlns="http://schemas.openxmlformats.org/spreadsheetml/2006/main" count="959" uniqueCount="280">
  <si>
    <t>Coking coal</t>
  </si>
  <si>
    <t>Hard coking coal</t>
  </si>
  <si>
    <t>Soft coking coal</t>
  </si>
  <si>
    <t>Coke</t>
  </si>
  <si>
    <t>BF coke</t>
  </si>
  <si>
    <t>Coke breeze</t>
  </si>
  <si>
    <t>PCI</t>
  </si>
  <si>
    <t>PCI coal</t>
  </si>
  <si>
    <t>tHRC = tonne of Hot Rolled Coil</t>
  </si>
  <si>
    <t>tCS = tonne of Crude Steel</t>
  </si>
  <si>
    <t>(%wt - dry basis)</t>
  </si>
  <si>
    <t>Table C-1</t>
  </si>
  <si>
    <t>Table C-16</t>
  </si>
  <si>
    <t>Table C-2</t>
  </si>
  <si>
    <t>Reference</t>
  </si>
  <si>
    <r>
      <t>1t of C produces 3.67t of CO</t>
    </r>
    <r>
      <rPr>
        <vertAlign val="subscript"/>
        <sz val="9"/>
        <color theme="1"/>
        <rFont val="Calibri"/>
        <family val="2"/>
        <scheme val="minor"/>
      </rPr>
      <t>2</t>
    </r>
  </si>
  <si>
    <t>Calculated using assumption:</t>
  </si>
  <si>
    <t>Table D-1</t>
  </si>
  <si>
    <t>Table D-5</t>
  </si>
  <si>
    <t>tHM = tonne of Hot Metal</t>
  </si>
  <si>
    <t>Figure E-2</t>
  </si>
  <si>
    <t>Table E-9</t>
  </si>
  <si>
    <t>Fossil fuel cost</t>
  </si>
  <si>
    <t>*Handling charge not included for this calculation as it can be assumed the hadling charge for bio-carbon fuel would be the same</t>
  </si>
  <si>
    <t>**Using the report's 2010 conversion rate 1EUR=1.34 US$</t>
  </si>
  <si>
    <t>Table E-36</t>
  </si>
  <si>
    <t>Lump coke</t>
  </si>
  <si>
    <t>Charcoal</t>
  </si>
  <si>
    <t>-</t>
  </si>
  <si>
    <t>Wood pellets</t>
  </si>
  <si>
    <t>Hydrochar</t>
  </si>
  <si>
    <t>Torrefied Wood</t>
  </si>
  <si>
    <t>Substitution possibilities - Percentage</t>
  </si>
  <si>
    <t>Conversions</t>
  </si>
  <si>
    <t>Item</t>
  </si>
  <si>
    <t>Year</t>
  </si>
  <si>
    <t>Unit</t>
  </si>
  <si>
    <t>Value</t>
  </si>
  <si>
    <t>Flag</t>
  </si>
  <si>
    <t>Flag Description</t>
  </si>
  <si>
    <t>Sawnwood, coniferous</t>
  </si>
  <si>
    <t>Official data</t>
  </si>
  <si>
    <t>Austria</t>
  </si>
  <si>
    <t>Sawnwood, non-coniferous all</t>
  </si>
  <si>
    <t>Belgium</t>
  </si>
  <si>
    <t>*</t>
  </si>
  <si>
    <t>Unofficial figure</t>
  </si>
  <si>
    <t>Bulgaria</t>
  </si>
  <si>
    <t>F</t>
  </si>
  <si>
    <t>FAO estimate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</si>
  <si>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</si>
  <si>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</si>
  <si>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</si>
  <si>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</si>
  <si>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</si>
  <si>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</si>
  <si>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</si>
  <si>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</si>
  <si>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United Kingdom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</si>
  <si>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</si>
  <si>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</si>
  <si>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</si>
  <si>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</si>
  <si>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</si>
  <si>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</si>
  <si>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</si>
  <si>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</si>
  <si>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</si>
  <si>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</si>
  <si>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</si>
  <si>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</si>
  <si>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</si>
  <si>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</si>
  <si>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</si>
  <si>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</si>
  <si>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Area</t>
  </si>
  <si>
    <t>Element</t>
  </si>
  <si>
    <t>Production</t>
  </si>
  <si>
    <t>(coniferous + non-coniferous)</t>
  </si>
  <si>
    <t>Cost</t>
  </si>
  <si>
    <t>W091</t>
  </si>
  <si>
    <t>Animal and mixed food waste</t>
  </si>
  <si>
    <t>W092</t>
  </si>
  <si>
    <t>W101</t>
  </si>
  <si>
    <t>W11</t>
  </si>
  <si>
    <t>Common sludges</t>
  </si>
  <si>
    <t>Stumps from final fellings originating from nonconifer trees</t>
  </si>
  <si>
    <t>Stumps from final fellings originating from conifer trees</t>
  </si>
  <si>
    <t>Stemwood from final fellings originating from nonconifer trees</t>
  </si>
  <si>
    <t>Stemwood from final fellings originating from conifer trees</t>
  </si>
  <si>
    <t>Stemwood from thinnings originating from nonconifer trees</t>
  </si>
  <si>
    <t>Stemwood from thinnings originating from conifer trees</t>
  </si>
  <si>
    <t>Logging residues from final fellings originating from nonconifer trees</t>
  </si>
  <si>
    <t>Logging residues from final fellings originating from conifer trees</t>
  </si>
  <si>
    <t>Logging residues from thinnings from nonconifer trees</t>
  </si>
  <si>
    <t>Logging residues from thinnings from conifer trees</t>
  </si>
  <si>
    <t>Czech Republic</t>
  </si>
  <si>
    <t>U.K. of Great Britain and Northern Ireland</t>
  </si>
  <si>
    <t>Total</t>
  </si>
  <si>
    <t>PJ</t>
  </si>
  <si>
    <t>Mass to energy conversion</t>
  </si>
  <si>
    <t>Germany (until 1990 former territory of the FRG)</t>
  </si>
  <si>
    <t>Last update</t>
  </si>
  <si>
    <t>Extracted on</t>
  </si>
  <si>
    <t>UNIT</t>
  </si>
  <si>
    <t>HAZARD</t>
  </si>
  <si>
    <t>NACE_R2</t>
  </si>
  <si>
    <t>TIME</t>
  </si>
  <si>
    <t>Tonne</t>
  </si>
  <si>
    <t>Non-hazardous</t>
  </si>
  <si>
    <t>All NACE activities plus households</t>
  </si>
  <si>
    <t>2014</t>
  </si>
  <si>
    <t>Vegetal Waste</t>
  </si>
  <si>
    <t>Green waste</t>
  </si>
  <si>
    <t>WASTE:</t>
  </si>
  <si>
    <t>Industry food waste</t>
  </si>
  <si>
    <t>Municipal waste</t>
  </si>
  <si>
    <t>Sludges</t>
  </si>
  <si>
    <t>Household and similar waste</t>
  </si>
  <si>
    <t>Municipal waste*</t>
  </si>
  <si>
    <t>*Assumption 60% is organic</t>
  </si>
  <si>
    <t>Total:</t>
  </si>
  <si>
    <r>
      <t>Multiplication factor (</t>
    </r>
    <r>
      <rPr>
        <i/>
        <sz val="9"/>
        <color theme="1"/>
        <rFont val="Calibri"/>
        <family val="2"/>
        <scheme val="minor"/>
      </rPr>
      <t>EnergyByProducts</t>
    </r>
    <r>
      <rPr>
        <sz val="9"/>
        <color theme="1"/>
        <rFont val="Calibri"/>
        <family val="2"/>
        <scheme val="minor"/>
      </rPr>
      <t>):</t>
    </r>
  </si>
  <si>
    <t>Calculation of multiplication factors to make Option A (coking coal) and Option B (Coke) the same</t>
  </si>
  <si>
    <t>Coking coal energy demand</t>
  </si>
  <si>
    <r>
      <t>Coke energy demand
(</t>
    </r>
    <r>
      <rPr>
        <i/>
        <sz val="10"/>
        <color theme="1"/>
        <rFont val="Calibri"/>
        <family val="2"/>
        <scheme val="minor"/>
      </rPr>
      <t>SteelCokeDemand</t>
    </r>
    <r>
      <rPr>
        <sz val="10"/>
        <color theme="1"/>
        <rFont val="Calibri"/>
        <family val="2"/>
        <scheme val="minor"/>
      </rPr>
      <t>)</t>
    </r>
  </si>
  <si>
    <t>COUNTRY</t>
  </si>
  <si>
    <t>**Assuming 40% efficiency</t>
  </si>
  <si>
    <t>Annual biomass demand**
(PJ)</t>
  </si>
  <si>
    <t>Total (PJ)</t>
  </si>
  <si>
    <t>Sustainability scenario (70%)</t>
  </si>
  <si>
    <t>Total biomass demand
PJ</t>
  </si>
  <si>
    <t>Country</t>
  </si>
  <si>
    <t>EU-28 countries</t>
  </si>
  <si>
    <t>Pelletisation production cost</t>
  </si>
  <si>
    <t>Torrefaction production cost</t>
  </si>
  <si>
    <t>O&amp;M</t>
  </si>
  <si>
    <t>%</t>
  </si>
  <si>
    <t>Torrefied fuel</t>
  </si>
  <si>
    <t>Investment cost</t>
  </si>
  <si>
    <t>Production cost</t>
  </si>
  <si>
    <t>LHV</t>
  </si>
  <si>
    <t>Charcoal production</t>
  </si>
  <si>
    <t>EUR to US dollar in 2008</t>
  </si>
  <si>
    <t>Using value from Statista</t>
  </si>
  <si>
    <t xml:space="preserve">Scenario 3 - PPS </t>
  </si>
  <si>
    <t>Sludge</t>
  </si>
  <si>
    <t>kg</t>
  </si>
  <si>
    <t>HTC</t>
  </si>
  <si>
    <t>Dry matter within sludge</t>
  </si>
  <si>
    <t>Dry matter within HTC</t>
  </si>
  <si>
    <t>Yearly amount of sludge</t>
  </si>
  <si>
    <t>t</t>
  </si>
  <si>
    <t>Total investment cost</t>
  </si>
  <si>
    <t>Industry Food Waste</t>
  </si>
  <si>
    <t>Municipal organic waste</t>
  </si>
  <si>
    <t>Energy retention efficiency - averaged</t>
  </si>
  <si>
    <t>Average:</t>
  </si>
  <si>
    <t>Green Waste*</t>
  </si>
  <si>
    <t>Industry Food Waste*</t>
  </si>
  <si>
    <t>Municipal organic waste*</t>
  </si>
  <si>
    <t>Sludges*</t>
  </si>
  <si>
    <t>*Calculated as the difference of the production cost</t>
  </si>
  <si>
    <t>Summary</t>
  </si>
  <si>
    <t>Biomass demand</t>
  </si>
  <si>
    <t>Pulp and paper</t>
  </si>
  <si>
    <t>Heat and power plants</t>
  </si>
  <si>
    <t>Sawmills</t>
  </si>
  <si>
    <t>Integrated steel plants</t>
  </si>
  <si>
    <t>Feedstock availability</t>
  </si>
  <si>
    <t>Biomass</t>
  </si>
  <si>
    <t>Waste</t>
  </si>
  <si>
    <t>Feedstock cost</t>
  </si>
  <si>
    <t>Upgrading cost</t>
  </si>
  <si>
    <t>PPP</t>
  </si>
  <si>
    <t>Calculations</t>
  </si>
  <si>
    <t>Energy, emission and cost within steel plant</t>
  </si>
  <si>
    <t>Substitution potential of each steel plant</t>
  </si>
  <si>
    <t>Total production cost</t>
  </si>
  <si>
    <t>Total cost of the final product: production cost+feedstock cost</t>
  </si>
  <si>
    <t>Comparative price levels (PPP)</t>
  </si>
  <si>
    <t>*All data provided below come from:</t>
  </si>
  <si>
    <r>
      <t xml:space="preserve">IEAGHG. (2013). </t>
    </r>
    <r>
      <rPr>
        <i/>
        <sz val="11"/>
        <color theme="0"/>
        <rFont val="Calibri"/>
        <family val="2"/>
        <scheme val="minor"/>
      </rPr>
      <t>Iron and Steel CCS Study (Techno-Economics Integrated Steel Mill)</t>
    </r>
    <r>
      <rPr>
        <sz val="11"/>
        <color theme="0"/>
        <rFont val="Calibri"/>
        <family val="2"/>
        <scheme val="minor"/>
      </rPr>
      <t>.</t>
    </r>
  </si>
  <si>
    <t>* Data from: European Commission. (2016). Purchasing Power Parities. Retrieved August 21, 2017, from http://ec.europa.eu/eurostat/web/purchasing-power-parities</t>
  </si>
  <si>
    <t>*The corresponding references are given in Table 1, ploted in the original paper</t>
  </si>
  <si>
    <t>Citations:</t>
  </si>
  <si>
    <t>[1]</t>
  </si>
  <si>
    <t>Citation [1] :</t>
  </si>
  <si>
    <t>[2]</t>
  </si>
  <si>
    <t>[3]</t>
  </si>
  <si>
    <t>Citation [2]:</t>
  </si>
  <si>
    <t>[4]</t>
  </si>
  <si>
    <t>Citation [4]</t>
  </si>
  <si>
    <t>[5]</t>
  </si>
  <si>
    <t>Citation [5]</t>
  </si>
  <si>
    <t xml:space="preserve">Citation [3] </t>
  </si>
  <si>
    <r>
      <t xml:space="preserve">Uslu, A., Faaij, A. P. C., &amp; Bergman, P. C. A. (2008). Pre-treatment technologies, and their effect on international bioenergy supply chain logistics. Techno-economic evaluation of torrefaction, fast pyrolysis and pelletisation. </t>
    </r>
    <r>
      <rPr>
        <i/>
        <sz val="11"/>
        <color theme="0"/>
        <rFont val="Calibri"/>
        <family val="2"/>
        <scheme val="minor"/>
      </rPr>
      <t>Energy</t>
    </r>
    <r>
      <rPr>
        <sz val="11"/>
        <color theme="0"/>
        <rFont val="Calibri"/>
        <family val="2"/>
        <scheme val="minor"/>
      </rPr>
      <t xml:space="preserve">, </t>
    </r>
    <r>
      <rPr>
        <i/>
        <sz val="11"/>
        <color theme="0"/>
        <rFont val="Calibri"/>
        <family val="2"/>
        <scheme val="minor"/>
      </rPr>
      <t>33</t>
    </r>
    <r>
      <rPr>
        <sz val="11"/>
        <color theme="0"/>
        <rFont val="Calibri"/>
        <family val="2"/>
        <scheme val="minor"/>
      </rPr>
      <t>(8), 1206–1223. https://doi.org/10.1016/j.energy.2008.03.007</t>
    </r>
  </si>
  <si>
    <r>
      <t xml:space="preserve">Norgate, T., &amp; Langberg, D. (2009). Environmental and Economic Aspects of Charcoal Use in Steelmaking. </t>
    </r>
    <r>
      <rPr>
        <i/>
        <sz val="11"/>
        <color theme="0"/>
        <rFont val="Calibri"/>
        <family val="2"/>
        <scheme val="minor"/>
      </rPr>
      <t>ISIJ International</t>
    </r>
    <r>
      <rPr>
        <sz val="11"/>
        <color theme="0"/>
        <rFont val="Calibri"/>
        <family val="2"/>
        <scheme val="minor"/>
      </rPr>
      <t xml:space="preserve">, </t>
    </r>
    <r>
      <rPr>
        <i/>
        <sz val="11"/>
        <color theme="0"/>
        <rFont val="Calibri"/>
        <family val="2"/>
        <scheme val="minor"/>
      </rPr>
      <t>49</t>
    </r>
    <r>
      <rPr>
        <sz val="11"/>
        <color theme="0"/>
        <rFont val="Calibri"/>
        <family val="2"/>
        <scheme val="minor"/>
      </rPr>
      <t>(4), 587–595. https://doi.org/10.2355/isijinternational.49.587</t>
    </r>
  </si>
  <si>
    <r>
      <t xml:space="preserve">Child, M. (2014). </t>
    </r>
    <r>
      <rPr>
        <i/>
        <sz val="11"/>
        <color theme="0"/>
        <rFont val="Calibri"/>
        <family val="2"/>
        <scheme val="minor"/>
      </rPr>
      <t>Industrial-Scale Hydrothermal Carbonization of Waste Sludge Materials for Fuel Production</t>
    </r>
    <r>
      <rPr>
        <sz val="11"/>
        <color theme="0"/>
        <rFont val="Calibri"/>
        <family val="2"/>
        <scheme val="minor"/>
      </rPr>
      <t xml:space="preserve">. </t>
    </r>
    <r>
      <rPr>
        <i/>
        <sz val="11"/>
        <color theme="0"/>
        <rFont val="Calibri"/>
        <family val="2"/>
        <scheme val="minor"/>
      </rPr>
      <t>Master of Science Thesis</t>
    </r>
    <r>
      <rPr>
        <sz val="11"/>
        <color theme="0"/>
        <rFont val="Calibri"/>
        <family val="2"/>
        <scheme val="minor"/>
      </rPr>
      <t>. Lappeenranta University of Technology. Retrieved from http://urn.fi/URN:NBN:fi-fe2014061629246</t>
    </r>
  </si>
  <si>
    <r>
      <t xml:space="preserve">Wang, C., Salimbeni, A., Wang, G., &amp; Snape, C. (2017). Hydrochar potential application in European steel industry. In </t>
    </r>
    <r>
      <rPr>
        <i/>
        <sz val="11"/>
        <color theme="0"/>
        <rFont val="Calibri"/>
        <family val="2"/>
        <scheme val="minor"/>
      </rPr>
      <t>EUBCE 2017 Online Conference Proceedings</t>
    </r>
    <r>
      <rPr>
        <sz val="11"/>
        <color theme="0"/>
        <rFont val="Calibri"/>
        <family val="2"/>
        <scheme val="minor"/>
      </rPr>
      <t>. Retrieved from http://www.etaflorence.it/proceedings/</t>
    </r>
  </si>
  <si>
    <r>
      <t xml:space="preserve">Berge, N. D., Ro, K. S., Mao, J., Flora, J. R. V, Chappell, M. a, &amp; Bae, S. (2011). Hydrothermal carbonization of municipal waste streams. </t>
    </r>
    <r>
      <rPr>
        <i/>
        <sz val="11"/>
        <color theme="0"/>
        <rFont val="Calibri"/>
        <family val="2"/>
        <scheme val="minor"/>
      </rPr>
      <t>Environmental Science &amp; Technology</t>
    </r>
    <r>
      <rPr>
        <sz val="11"/>
        <color theme="0"/>
        <rFont val="Calibri"/>
        <family val="2"/>
        <scheme val="minor"/>
      </rPr>
      <t xml:space="preserve">, </t>
    </r>
    <r>
      <rPr>
        <i/>
        <sz val="11"/>
        <color theme="0"/>
        <rFont val="Calibri"/>
        <family val="2"/>
        <scheme val="minor"/>
      </rPr>
      <t>45</t>
    </r>
    <r>
      <rPr>
        <sz val="11"/>
        <color theme="0"/>
        <rFont val="Calibri"/>
        <family val="2"/>
        <scheme val="minor"/>
      </rPr>
      <t>(13), 5696–5703. https://doi.org/10.1021/es2004528</t>
    </r>
  </si>
  <si>
    <t>Dees, M., Elbersen, B., Fitzgerald, J., Vis, M., Anttila, P., Forsell, N., … Höhl, M. (2017). Atlas with regional cost supply biomass potentials for EU 28, Western Balkan Countries, Moldavia, Turkey and Ukraine. Project Report. S2BIOM – a project funded under the European Union 7th Framework Programme for Research. Grant Agreement n°608622. Retrieved from http://www.s2biom.eu/images/Publications/D1.8_S2Biom_Atlas_of_regional_cost_supply_biomass_potential_Final.pdf</t>
  </si>
  <si>
    <t xml:space="preserve">*Values obtained from: </t>
  </si>
  <si>
    <t>Data omitted due to confidentiality of third party data</t>
  </si>
  <si>
    <t>European Commission. (2014). Database - Waste generation and treatment. Retrieved August 10, 2017, from http://ec.europa.eu/eurostat/data/database</t>
  </si>
  <si>
    <t>*Values obtained from:</t>
  </si>
  <si>
    <t>FAO. (2016). Forestry Production and Trade - sawnwood production. Retrieved October 3, 2017, from http://www.fao.org/faostat/en/#data/FO</t>
  </si>
  <si>
    <t>Amount of sawnwood obtained from:</t>
  </si>
  <si>
    <t xml:space="preserve">Conversion of sawnwood to sawnlogs obtained from: </t>
  </si>
  <si>
    <r>
      <t xml:space="preserve">Fonseca, M., &amp; Task Force Members. (2010). </t>
    </r>
    <r>
      <rPr>
        <i/>
        <sz val="11"/>
        <color theme="0"/>
        <rFont val="Calibri"/>
        <family val="2"/>
        <scheme val="minor"/>
      </rPr>
      <t>Forest Product Conversion Factors for the Unece Region</t>
    </r>
    <r>
      <rPr>
        <sz val="11"/>
        <color theme="0"/>
        <rFont val="Calibri"/>
        <family val="2"/>
        <scheme val="minor"/>
      </rPr>
      <t xml:space="preserve">. </t>
    </r>
    <r>
      <rPr>
        <i/>
        <sz val="11"/>
        <color theme="0"/>
        <rFont val="Calibri"/>
        <family val="2"/>
        <scheme val="minor"/>
      </rPr>
      <t>Geneva Timber and Forest Discussion Paper</t>
    </r>
    <r>
      <rPr>
        <sz val="11"/>
        <color theme="0"/>
        <rFont val="Calibri"/>
        <family val="2"/>
        <scheme val="minor"/>
      </rPr>
      <t xml:space="preserve"> (Vol. ECE/TIM/DP). Retrieved from http://timber.unece.org/fileadmin/DAM/publications/DP-49.pdf</t>
    </r>
  </si>
  <si>
    <t>* Values obtained from: CEPI. (2016). Key Statistics 2016 European Pulp and Paper Industry. Retrieved from https://www.e-control.at/documents/20903/443907/Statbro_englisch_FINAL.pdf/0feaeaa0-d46f-4496-a498-39a81e5e67a2</t>
  </si>
  <si>
    <t>*Values obtained from: Platts. (2017). Electric power facilities database. Retrieved February 5, 2018, from http://www.platts.com</t>
  </si>
  <si>
    <t>*where approapriate, references were give, however all references for the input data may be found in the main paper</t>
  </si>
  <si>
    <r>
      <t>hm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</si>
  <si>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Total biomass demand
hm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</si>
  <si>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* Assuming conversion 7.3PJ hm</t>
    </r>
    <r>
      <rPr>
        <vertAlign val="superscript"/>
        <sz val="11"/>
        <color theme="1"/>
        <rFont val="Calibri"/>
        <family val="2"/>
        <scheme val="minor"/>
      </rPr>
      <t>-3</t>
    </r>
  </si>
  <si>
    <t>*Assuming annual operation of 6000 hr</t>
  </si>
  <si>
    <r>
      <t>*** Assuming conversion 7.3PJ hm</t>
    </r>
    <r>
      <rPr>
        <vertAlign val="superscript"/>
        <sz val="11"/>
        <color theme="1"/>
        <rFont val="Calibri"/>
        <family val="2"/>
        <scheme val="minor"/>
      </rPr>
      <t>-3</t>
    </r>
  </si>
  <si>
    <r>
      <t>Plant output 
(MWh)</t>
    </r>
    <r>
      <rPr>
        <i/>
        <sz val="11"/>
        <color theme="1"/>
        <rFont val="Calibri"/>
        <family val="2"/>
        <scheme val="minor"/>
      </rPr>
      <t>*</t>
    </r>
  </si>
  <si>
    <t>Plant output
(MW)</t>
  </si>
  <si>
    <r>
      <t>Annual biomass demand***
(hm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</si>
  <si>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Total biomass demand
Mt of dry matter</t>
  </si>
  <si>
    <t>Total pulp
t</t>
  </si>
  <si>
    <r>
      <t>Sawnwood total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) 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</si>
  <si>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</si>
  <si>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</si>
  <si>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Estimated demand of sawlogs (hm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</si>
  <si>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(sawnwood*2*10</t>
    </r>
    <r>
      <rPr>
        <vertAlign val="superscript"/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scheme val="minor"/>
      </rPr>
      <t>)</t>
    </r>
  </si>
  <si>
    <r>
      <t>sawlogs* 7.3PJ hm</t>
    </r>
    <r>
      <rPr>
        <i/>
        <vertAlign val="superscript"/>
        <sz val="11"/>
        <color theme="1"/>
        <rFont val="Calibri"/>
        <family val="2"/>
        <scheme val="minor"/>
      </rPr>
      <t>-3</t>
    </r>
    <r>
      <rPr>
        <i/>
        <sz val="11"/>
        <color theme="1"/>
        <rFont val="Calibri"/>
        <family val="2"/>
        <scheme val="minor"/>
      </rPr>
      <t xml:space="preserve">
</t>
    </r>
  </si>
  <si>
    <r>
      <t>Estimated demand of sawlogs (PJ year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</si>
  <si>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GJ m</t>
    </r>
    <r>
      <rPr>
        <vertAlign val="superscript"/>
        <sz val="11"/>
        <color theme="1"/>
        <rFont val="Calibri"/>
        <family val="2"/>
        <scheme val="minor"/>
      </rPr>
      <t>-3</t>
    </r>
  </si>
  <si>
    <r>
      <t>Total (hm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)*</t>
    </r>
  </si>
  <si>
    <r>
      <t>GJ t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</si>
  <si>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MJ kg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</si>
  <si>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M</t>
    </r>
    <r>
      <rPr>
        <sz val="11"/>
        <color theme="1"/>
        <rFont val="Calibri"/>
        <family val="2"/>
      </rPr>
      <t xml:space="preserve">€ </t>
    </r>
    <r>
      <rPr>
        <sz val="11"/>
        <color theme="1"/>
        <rFont val="Calibri"/>
        <family val="2"/>
        <scheme val="minor"/>
      </rPr>
      <t>PJ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</si>
  <si>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€ t</t>
    </r>
    <r>
      <rPr>
        <vertAlign val="superscript"/>
        <sz val="11"/>
        <color theme="1"/>
        <rFont val="Calibri"/>
        <family val="2"/>
        <scheme val="minor"/>
      </rPr>
      <t>-1</t>
    </r>
  </si>
  <si>
    <t>€</t>
  </si>
  <si>
    <r>
      <t>US$ t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</si>
  <si>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€ GJ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</si>
  <si>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LHV (GJ t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</si>
  <si>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Feedstock cost (</t>
    </r>
    <r>
      <rPr>
        <sz val="11"/>
        <color theme="1"/>
        <rFont val="Calibri"/>
        <family val="2"/>
      </rPr>
      <t>€</t>
    </r>
    <r>
      <rPr>
        <sz val="11"/>
        <color theme="1"/>
        <rFont val="Calibri"/>
        <family val="2"/>
        <scheme val="minor"/>
      </rPr>
      <t xml:space="preserve"> t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hydrochar):</t>
    </r>
  </si>
  <si>
    <r>
      <t>Waste cost (€ GJ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=  M€ PJ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):</t>
    </r>
  </si>
  <si>
    <r>
      <t>Maximum substitution potential by biomass in crude steel production 
(GJ t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):</t>
    </r>
  </si>
  <si>
    <r>
      <t>Substitution possibilities in crude steel production - GJ t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</si>
  <si>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45kg t</t>
    </r>
    <r>
      <rPr>
        <vertAlign val="superscript"/>
        <sz val="11"/>
        <color theme="1"/>
        <rFont val="Calibri"/>
        <family val="2"/>
        <scheme val="minor"/>
      </rPr>
      <t>-1*</t>
    </r>
  </si>
  <si>
    <t>*per tonne of hot metal</t>
  </si>
  <si>
    <t>Fossil fuel consumption</t>
  </si>
  <si>
    <r>
      <t>MJ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- dry</t>
    </r>
  </si>
  <si>
    <r>
      <t>Multiplication factor (</t>
    </r>
    <r>
      <rPr>
        <i/>
        <sz val="9"/>
        <color theme="1"/>
        <rFont val="Calibri"/>
        <family val="2"/>
        <scheme val="minor"/>
      </rPr>
      <t>CostByProducts</t>
    </r>
    <r>
      <rPr>
        <sz val="9"/>
        <color theme="1"/>
        <rFont val="Calibri"/>
        <family val="2"/>
        <scheme val="minor"/>
      </rPr>
      <t>):</t>
    </r>
  </si>
  <si>
    <r>
      <t>Multiplication factor (Emissions</t>
    </r>
    <r>
      <rPr>
        <i/>
        <sz val="9"/>
        <color theme="1"/>
        <rFont val="Calibri"/>
        <family val="2"/>
        <scheme val="minor"/>
      </rPr>
      <t>ByProducts</t>
    </r>
    <r>
      <rPr>
        <sz val="9"/>
        <color theme="1"/>
        <rFont val="Calibri"/>
        <family val="2"/>
        <scheme val="minor"/>
      </rPr>
      <t>):</t>
    </r>
  </si>
  <si>
    <t>Fossil fuel</t>
  </si>
  <si>
    <t>Properties of fossil fuels</t>
  </si>
  <si>
    <t>Low Heating value of each fuel</t>
  </si>
  <si>
    <t xml:space="preserve">Carbon content 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</si>
  <si>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Emission factor</t>
    </r>
  </si>
  <si>
    <r>
      <t>t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</si>
  <si>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t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GJ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</si>
  <si>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1t of C produces 3.67t of CO</t>
    </r>
    <r>
      <rPr>
        <vertAlign val="subscript"/>
        <sz val="8"/>
        <color theme="1"/>
        <rFont val="Calibri"/>
        <family val="2"/>
        <scheme val="minor"/>
      </rPr>
      <t>2</t>
    </r>
  </si>
  <si>
    <t>Material cost</t>
  </si>
  <si>
    <r>
      <t>US$ t</t>
    </r>
    <r>
      <rPr>
        <vertAlign val="superscript"/>
        <sz val="8"/>
        <color theme="1"/>
        <rFont val="Calibri"/>
        <family val="2"/>
        <scheme val="minor"/>
      </rPr>
      <t>-1</t>
    </r>
    <r>
      <rPr>
        <sz val="8"/>
        <color theme="1"/>
        <rFont val="Calibri"/>
        <family val="2"/>
        <scheme val="minor"/>
      </rPr>
      <t xml:space="preserve">
-dry basis</t>
    </r>
  </si>
  <si>
    <t>Voyage rate</t>
  </si>
  <si>
    <t>Moisture content</t>
  </si>
  <si>
    <t>%wt</t>
  </si>
  <si>
    <t>for HRC</t>
  </si>
  <si>
    <t>for CS</t>
  </si>
  <si>
    <r>
      <t>kg t</t>
    </r>
    <r>
      <rPr>
        <vertAlign val="superscript"/>
        <sz val="11"/>
        <color theme="1"/>
        <rFont val="Calibri"/>
        <family val="2"/>
        <scheme val="minor"/>
      </rPr>
      <t>-1</t>
    </r>
  </si>
  <si>
    <t>Total price</t>
  </si>
  <si>
    <r>
      <t>US$ t</t>
    </r>
    <r>
      <rPr>
        <vertAlign val="superscript"/>
        <sz val="9"/>
        <color theme="1"/>
        <rFont val="Calibri"/>
        <family val="2"/>
        <scheme val="minor"/>
      </rPr>
      <t>-1</t>
    </r>
    <r>
      <rPr>
        <sz val="9"/>
        <color theme="1"/>
        <rFont val="Calibri"/>
        <family val="2"/>
        <scheme val="minor"/>
      </rPr>
      <t>*</t>
    </r>
  </si>
  <si>
    <t>for tCS</t>
  </si>
  <si>
    <t>for tHRC</t>
  </si>
  <si>
    <r>
      <t>US$ t</t>
    </r>
    <r>
      <rPr>
        <vertAlign val="superscript"/>
        <sz val="9"/>
        <color theme="1"/>
        <rFont val="Calibri"/>
        <family val="2"/>
        <scheme val="minor"/>
      </rPr>
      <t>-1</t>
    </r>
  </si>
  <si>
    <r>
      <t>US$ GJ</t>
    </r>
    <r>
      <rPr>
        <vertAlign val="superscript"/>
        <sz val="9"/>
        <color theme="1"/>
        <rFont val="Calibri"/>
        <family val="2"/>
        <scheme val="minor"/>
      </rPr>
      <t>-1</t>
    </r>
  </si>
  <si>
    <r>
      <rPr>
        <sz val="9"/>
        <color theme="1"/>
        <rFont val="Calibri"/>
        <family val="2"/>
      </rPr>
      <t xml:space="preserve">€ </t>
    </r>
    <r>
      <rPr>
        <sz val="9"/>
        <color theme="1"/>
        <rFont val="Calibri"/>
        <family val="2"/>
        <scheme val="minor"/>
      </rPr>
      <t>GJ</t>
    </r>
    <r>
      <rPr>
        <vertAlign val="superscript"/>
        <sz val="9"/>
        <color theme="1"/>
        <rFont val="Calibri"/>
        <family val="2"/>
        <scheme val="minor"/>
      </rPr>
      <t>-1</t>
    </r>
    <r>
      <rPr>
        <sz val="9"/>
        <color theme="1"/>
        <rFont val="Calibri"/>
        <family val="2"/>
      </rPr>
      <t>**</t>
    </r>
  </si>
  <si>
    <t>Energy requirement for producing tCS</t>
  </si>
  <si>
    <t>Cost for producing tCS</t>
  </si>
  <si>
    <r>
      <t>CO</t>
    </r>
    <r>
      <rPr>
        <b/>
        <vertAlign val="sub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 xml:space="preserve"> emissions for producing tCS</t>
    </r>
  </si>
  <si>
    <t>kt (dry matter)</t>
  </si>
  <si>
    <r>
      <t>Average MJ kg</t>
    </r>
    <r>
      <rPr>
        <vertAlign val="superscript"/>
        <sz val="11"/>
        <color theme="6" tint="0.39997558519241921"/>
        <rFont val="Calibri"/>
        <family val="2"/>
        <scheme val="minor"/>
      </rPr>
      <t>-1</t>
    </r>
    <r>
      <rPr>
        <sz val="11"/>
        <color theme="6" tint="0.39997558519241921"/>
        <rFont val="Calibri"/>
        <family val="2"/>
        <scheme val="minor"/>
      </rPr>
      <t>:</t>
    </r>
  </si>
  <si>
    <r>
      <t>Average GJ m</t>
    </r>
    <r>
      <rPr>
        <vertAlign val="superscript"/>
        <sz val="11"/>
        <color theme="6" tint="0.39997558519241921"/>
        <rFont val="Calibri"/>
        <family val="2"/>
        <scheme val="minor"/>
      </rPr>
      <t>-3</t>
    </r>
    <r>
      <rPr>
        <sz val="11"/>
        <color theme="6" tint="0.39997558519241921"/>
        <rFont val="Calibri"/>
        <family val="2"/>
        <scheme val="minor"/>
      </rPr>
      <t>:</t>
    </r>
  </si>
  <si>
    <r>
      <t>t t</t>
    </r>
    <r>
      <rPr>
        <vertAlign val="superscript"/>
        <sz val="11"/>
        <color theme="1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</si>
</sst>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#,##0.0"/>
    <numFmt numFmtId="167" formatCode="dd\.mm\.yy"/>
    <numFmt numFmtId="168" formatCode="d\.m\.yy;@"/>
    <numFmt numFmtId="169" formatCode="0.0000"/>
    <numFmt numFmtId="170" formatCode="0.0000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vertAlign val="superscript"/>
      <sz val="11"/>
      <color theme="6" tint="0.3999755851924192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6">
    <xf numFmtId="0" fontId="0" fillId="0" borderId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6" applyNumberFormat="0" applyAlignment="0" applyProtection="0"/>
    <xf numFmtId="0" fontId="18" fillId="12" borderId="7" applyNumberFormat="0" applyAlignment="0" applyProtection="0"/>
    <xf numFmtId="0" fontId="19" fillId="12" borderId="6" applyNumberFormat="0" applyAlignment="0" applyProtection="0"/>
    <xf numFmtId="0" fontId="20" fillId="0" borderId="8" applyNumberFormat="0" applyFill="0" applyAlignment="0" applyProtection="0"/>
    <xf numFmtId="0" fontId="21" fillId="13" borderId="9" applyNumberFormat="0" applyAlignment="0" applyProtection="0"/>
    <xf numFmtId="0" fontId="22" fillId="0" borderId="0" applyNumberFormat="0" applyFill="0" applyBorder="0" applyAlignment="0" applyProtection="0"/>
    <xf numFmtId="0" fontId="9" fillId="14" borderId="10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4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25" fillId="10" borderId="0" applyNumberFormat="0" applyBorder="0" applyAlignment="0" applyProtection="0"/>
    <xf numFmtId="0" fontId="26" fillId="0" borderId="0"/>
    <xf numFmtId="0" fontId="16" fillId="10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235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0" fontId="3" fillId="0" borderId="1" xfId="0" applyFont="1" applyBorder="1"/>
    <xf numFmtId="0" fontId="3" fillId="0" borderId="1" xfId="0" applyFont="1" applyFill="1" applyBorder="1"/>
    <xf numFmtId="2" fontId="0" fillId="0" borderId="1" xfId="0" applyNumberFormat="1" applyBorder="1"/>
    <xf numFmtId="0" fontId="0" fillId="0" borderId="0" xfId="0" applyFill="1" applyBorder="1"/>
    <xf numFmtId="2" fontId="1" fillId="0" borderId="0" xfId="0" applyNumberFormat="1" applyFont="1" applyFill="1" applyBorder="1"/>
    <xf numFmtId="164" fontId="1" fillId="0" borderId="0" xfId="0" applyNumberFormat="1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165" fontId="1" fillId="2" borderId="1" xfId="0" applyNumberFormat="1" applyFont="1" applyFill="1" applyBorder="1"/>
    <xf numFmtId="165" fontId="0" fillId="0" borderId="0" xfId="0" applyNumberFormat="1" applyFill="1" applyBorder="1"/>
    <xf numFmtId="2" fontId="0" fillId="0" borderId="1" xfId="0" applyNumberFormat="1" applyFont="1" applyBorder="1"/>
    <xf numFmtId="9" fontId="0" fillId="0" borderId="0" xfId="0" applyNumberFormat="1"/>
    <xf numFmtId="10" fontId="0" fillId="0" borderId="0" xfId="0" applyNumberFormat="1"/>
    <xf numFmtId="0" fontId="0" fillId="7" borderId="0" xfId="0" applyFill="1"/>
    <xf numFmtId="164" fontId="0" fillId="7" borderId="0" xfId="0" applyNumberFormat="1" applyFill="1"/>
    <xf numFmtId="0" fontId="27" fillId="0" borderId="0" xfId="0" applyFont="1" applyFill="1"/>
    <xf numFmtId="0" fontId="0" fillId="40" borderId="0" xfId="0" applyFill="1"/>
    <xf numFmtId="0" fontId="0" fillId="39" borderId="0" xfId="0" applyFill="1" applyAlignment="1">
      <alignment wrapText="1"/>
    </xf>
    <xf numFmtId="0" fontId="0" fillId="39" borderId="0" xfId="0" applyFill="1"/>
    <xf numFmtId="0" fontId="27" fillId="0" borderId="0" xfId="0" applyFont="1" applyFill="1" applyAlignment="1">
      <alignment wrapText="1"/>
    </xf>
    <xf numFmtId="0" fontId="0" fillId="0" borderId="0" xfId="0"/>
    <xf numFmtId="0" fontId="0" fillId="0" borderId="0" xfId="0"/>
    <xf numFmtId="166" fontId="0" fillId="0" borderId="0" xfId="0" applyNumberFormat="1"/>
    <xf numFmtId="166" fontId="1" fillId="0" borderId="0" xfId="0" applyNumberFormat="1" applyFont="1"/>
    <xf numFmtId="0" fontId="0" fillId="41" borderId="0" xfId="0" applyFill="1"/>
    <xf numFmtId="0" fontId="0" fillId="40" borderId="1" xfId="0" applyFill="1" applyBorder="1" applyAlignment="1">
      <alignment textRotation="90" wrapText="1"/>
    </xf>
    <xf numFmtId="0" fontId="0" fillId="41" borderId="1" xfId="0" applyFill="1" applyBorder="1"/>
    <xf numFmtId="0" fontId="0" fillId="0" borderId="13" xfId="0" applyBorder="1"/>
    <xf numFmtId="0" fontId="0" fillId="0" borderId="14" xfId="0" applyBorder="1"/>
    <xf numFmtId="166" fontId="0" fillId="0" borderId="1" xfId="0" applyNumberFormat="1" applyBorder="1"/>
    <xf numFmtId="0" fontId="0" fillId="40" borderId="13" xfId="0" applyFill="1" applyBorder="1"/>
    <xf numFmtId="0" fontId="0" fillId="40" borderId="14" xfId="0" applyFill="1" applyBorder="1"/>
    <xf numFmtId="166" fontId="0" fillId="0" borderId="0" xfId="0" applyNumberFormat="1" applyBorder="1"/>
    <xf numFmtId="0" fontId="0" fillId="41" borderId="0" xfId="0" applyFill="1" applyBorder="1"/>
    <xf numFmtId="0" fontId="0" fillId="0" borderId="0" xfId="0" applyBorder="1"/>
    <xf numFmtId="0" fontId="0" fillId="42" borderId="12" xfId="0" applyFill="1" applyBorder="1"/>
    <xf numFmtId="0" fontId="0" fillId="42" borderId="1" xfId="0" applyFill="1" applyBorder="1"/>
    <xf numFmtId="166" fontId="1" fillId="42" borderId="0" xfId="0" applyNumberFormat="1" applyFont="1" applyFill="1"/>
    <xf numFmtId="166" fontId="1" fillId="42" borderId="1" xfId="0" applyNumberFormat="1" applyFont="1" applyFill="1" applyBorder="1"/>
    <xf numFmtId="0" fontId="0" fillId="43" borderId="0" xfId="0" applyFill="1"/>
    <xf numFmtId="0" fontId="0" fillId="43" borderId="0" xfId="0" applyFill="1" applyAlignment="1">
      <alignment textRotation="90" wrapText="1"/>
    </xf>
    <xf numFmtId="0" fontId="0" fillId="45" borderId="0" xfId="0" applyFill="1"/>
    <xf numFmtId="0" fontId="28" fillId="0" borderId="0" xfId="0" applyNumberFormat="1" applyFont="1" applyFill="1" applyBorder="1" applyAlignment="1"/>
    <xf numFmtId="167" fontId="28" fillId="0" borderId="0" xfId="0" applyNumberFormat="1" applyFont="1" applyFill="1" applyBorder="1" applyAlignment="1"/>
    <xf numFmtId="168" fontId="0" fillId="0" borderId="0" xfId="0" applyNumberFormat="1"/>
    <xf numFmtId="0" fontId="0" fillId="0" borderId="0" xfId="0" applyAlignment="1">
      <alignment horizontal="center" vertical="center" wrapText="1"/>
    </xf>
    <xf numFmtId="3" fontId="28" fillId="0" borderId="0" xfId="0" applyNumberFormat="1" applyFont="1" applyFill="1" applyBorder="1" applyAlignment="1"/>
    <xf numFmtId="0" fontId="28" fillId="0" borderId="14" xfId="0" applyNumberFormat="1" applyFont="1" applyFill="1" applyBorder="1" applyAlignment="1"/>
    <xf numFmtId="0" fontId="28" fillId="44" borderId="14" xfId="0" applyNumberFormat="1" applyFont="1" applyFill="1" applyBorder="1" applyAlignment="1"/>
    <xf numFmtId="0" fontId="0" fillId="46" borderId="16" xfId="0" applyFill="1" applyBorder="1"/>
    <xf numFmtId="0" fontId="1" fillId="46" borderId="15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/>
    <xf numFmtId="0" fontId="0" fillId="45" borderId="1" xfId="0" applyFill="1" applyBorder="1"/>
    <xf numFmtId="0" fontId="28" fillId="44" borderId="13" xfId="0" applyNumberFormat="1" applyFont="1" applyFill="1" applyBorder="1" applyAlignment="1"/>
    <xf numFmtId="3" fontId="28" fillId="0" borderId="1" xfId="0" applyNumberFormat="1" applyFont="1" applyFill="1" applyBorder="1" applyAlignment="1"/>
    <xf numFmtId="0" fontId="0" fillId="43" borderId="0" xfId="0" applyFill="1" applyBorder="1"/>
    <xf numFmtId="3" fontId="0" fillId="0" borderId="0" xfId="0" applyNumberFormat="1" applyBorder="1"/>
    <xf numFmtId="4" fontId="1" fillId="0" borderId="0" xfId="0" applyNumberFormat="1" applyFont="1" applyBorder="1"/>
    <xf numFmtId="169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19" xfId="0" applyBorder="1"/>
    <xf numFmtId="0" fontId="29" fillId="0" borderId="19" xfId="0" applyFont="1" applyBorder="1" applyAlignment="1">
      <alignment wrapText="1"/>
    </xf>
    <xf numFmtId="165" fontId="0" fillId="0" borderId="0" xfId="0" applyNumberFormat="1" applyBorder="1"/>
    <xf numFmtId="0" fontId="29" fillId="0" borderId="21" xfId="0" applyFont="1" applyBorder="1" applyAlignment="1">
      <alignment wrapText="1"/>
    </xf>
    <xf numFmtId="0" fontId="0" fillId="0" borderId="22" xfId="0" applyBorder="1"/>
    <xf numFmtId="3" fontId="1" fillId="0" borderId="0" xfId="0" applyNumberFormat="1" applyFont="1"/>
    <xf numFmtId="0" fontId="0" fillId="42" borderId="0" xfId="0" applyFill="1"/>
    <xf numFmtId="0" fontId="0" fillId="42" borderId="0" xfId="0" applyFill="1" applyAlignment="1">
      <alignment horizontal="center" vertical="center" wrapText="1"/>
    </xf>
    <xf numFmtId="2" fontId="0" fillId="0" borderId="0" xfId="0" applyNumberFormat="1" applyFill="1"/>
    <xf numFmtId="0" fontId="1" fillId="0" borderId="2" xfId="0" applyFont="1" applyFill="1" applyBorder="1" applyAlignment="1"/>
    <xf numFmtId="166" fontId="0" fillId="42" borderId="0" xfId="0" applyNumberFormat="1" applyFill="1"/>
    <xf numFmtId="166" fontId="0" fillId="42" borderId="1" xfId="0" applyNumberFormat="1" applyFill="1" applyBorder="1"/>
    <xf numFmtId="0" fontId="0" fillId="40" borderId="14" xfId="0" applyFill="1" applyBorder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42" borderId="0" xfId="0" applyFill="1" applyAlignment="1">
      <alignment horizontal="center" wrapText="1"/>
    </xf>
    <xf numFmtId="0" fontId="0" fillId="42" borderId="0" xfId="0" applyFill="1" applyAlignment="1">
      <alignment wrapText="1"/>
    </xf>
    <xf numFmtId="2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 vertical="center"/>
    </xf>
    <xf numFmtId="170" fontId="0" fillId="44" borderId="0" xfId="0" applyNumberFormat="1" applyFill="1"/>
    <xf numFmtId="2" fontId="0" fillId="0" borderId="15" xfId="0" applyNumberFormat="1" applyBorder="1"/>
    <xf numFmtId="2" fontId="0" fillId="0" borderId="23" xfId="0" applyNumberFormat="1" applyBorder="1"/>
    <xf numFmtId="0" fontId="0" fillId="0" borderId="23" xfId="0" applyBorder="1" applyAlignment="1"/>
    <xf numFmtId="2" fontId="0" fillId="0" borderId="24" xfId="0" applyNumberFormat="1" applyBorder="1"/>
    <xf numFmtId="0" fontId="0" fillId="0" borderId="23" xfId="0" applyBorder="1" applyAlignment="1">
      <alignment textRotation="45"/>
    </xf>
    <xf numFmtId="170" fontId="0" fillId="0" borderId="0" xfId="0" applyNumberFormat="1" applyFont="1"/>
    <xf numFmtId="2" fontId="1" fillId="0" borderId="23" xfId="0" applyNumberFormat="1" applyFont="1" applyBorder="1"/>
    <xf numFmtId="0" fontId="0" fillId="0" borderId="15" xfId="0" applyFont="1" applyBorder="1"/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0" fillId="0" borderId="0" xfId="0" applyNumberFormat="1"/>
    <xf numFmtId="0" fontId="0" fillId="0" borderId="0" xfId="0" applyAlignment="1">
      <alignment textRotation="45"/>
    </xf>
    <xf numFmtId="0" fontId="0" fillId="0" borderId="0" xfId="0" applyAlignment="1"/>
    <xf numFmtId="0" fontId="0" fillId="0" borderId="0" xfId="0" applyFont="1" applyBorder="1"/>
    <xf numFmtId="2" fontId="0" fillId="0" borderId="0" xfId="0" applyNumberFormat="1" applyBorder="1"/>
    <xf numFmtId="2" fontId="1" fillId="0" borderId="0" xfId="0" applyNumberFormat="1" applyFont="1"/>
    <xf numFmtId="0" fontId="0" fillId="0" borderId="0" xfId="0" applyFont="1"/>
    <xf numFmtId="0" fontId="32" fillId="0" borderId="0" xfId="45"/>
    <xf numFmtId="0" fontId="24" fillId="47" borderId="0" xfId="0" applyFont="1" applyFill="1"/>
    <xf numFmtId="0" fontId="24" fillId="48" borderId="0" xfId="0" applyFont="1" applyFill="1"/>
    <xf numFmtId="164" fontId="1" fillId="0" borderId="0" xfId="0" applyNumberFormat="1" applyFont="1"/>
    <xf numFmtId="164" fontId="1" fillId="40" borderId="0" xfId="0" applyNumberFormat="1" applyFont="1" applyFill="1"/>
    <xf numFmtId="164" fontId="0" fillId="40" borderId="0" xfId="0" applyNumberFormat="1" applyFill="1"/>
    <xf numFmtId="164" fontId="0" fillId="0" borderId="0" xfId="0" applyNumberFormat="1" applyFill="1"/>
    <xf numFmtId="4" fontId="0" fillId="0" borderId="0" xfId="0" applyNumberFormat="1"/>
    <xf numFmtId="2" fontId="0" fillId="49" borderId="15" xfId="0" applyNumberFormat="1" applyFill="1" applyBorder="1"/>
    <xf numFmtId="0" fontId="0" fillId="44" borderId="0" xfId="0" applyFill="1"/>
    <xf numFmtId="0" fontId="22" fillId="0" borderId="0" xfId="0" applyFont="1" applyAlignment="1"/>
    <xf numFmtId="0" fontId="24" fillId="50" borderId="0" xfId="0" applyFont="1" applyFill="1" applyAlignment="1">
      <alignment wrapText="1"/>
    </xf>
    <xf numFmtId="0" fontId="24" fillId="50" borderId="0" xfId="0" applyFont="1" applyFill="1" applyAlignment="1">
      <alignment horizontal="left" vertical="center" indent="3"/>
    </xf>
    <xf numFmtId="0" fontId="24" fillId="50" borderId="0" xfId="0" applyFont="1" applyFill="1"/>
    <xf numFmtId="0" fontId="24" fillId="50" borderId="0" xfId="0" applyFont="1" applyFill="1" applyAlignment="1"/>
    <xf numFmtId="0" fontId="0" fillId="50" borderId="0" xfId="0" applyFill="1"/>
    <xf numFmtId="0" fontId="24" fillId="50" borderId="0" xfId="0" applyFont="1" applyFill="1" applyBorder="1"/>
    <xf numFmtId="0" fontId="24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indent="3"/>
    </xf>
    <xf numFmtId="0" fontId="24" fillId="0" borderId="0" xfId="0" applyFont="1" applyFill="1"/>
    <xf numFmtId="0" fontId="27" fillId="0" borderId="0" xfId="0" applyFont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9" fontId="0" fillId="0" borderId="0" xfId="0" applyNumberFormat="1" applyAlignment="1">
      <alignment horizontal="right"/>
    </xf>
    <xf numFmtId="0" fontId="3" fillId="43" borderId="0" xfId="0" applyFont="1" applyFill="1" applyBorder="1" applyAlignment="1">
      <alignment wrapText="1"/>
    </xf>
    <xf numFmtId="170" fontId="1" fillId="43" borderId="1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170" fontId="1" fillId="0" borderId="1" xfId="0" applyNumberFormat="1" applyFont="1" applyFill="1" applyBorder="1" applyAlignment="1"/>
    <xf numFmtId="0" fontId="0" fillId="0" borderId="0" xfId="0" applyFont="1" applyFill="1" applyBorder="1" applyAlignment="1">
      <alignment wrapText="1"/>
    </xf>
    <xf numFmtId="0" fontId="0" fillId="2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2" fontId="0" fillId="6" borderId="0" xfId="0" applyNumberFormat="1" applyFill="1" applyBorder="1"/>
    <xf numFmtId="0" fontId="0" fillId="4" borderId="0" xfId="0" applyFill="1" applyBorder="1"/>
    <xf numFmtId="0" fontId="0" fillId="6" borderId="0" xfId="0" applyFill="1" applyBorder="1"/>
    <xf numFmtId="164" fontId="0" fillId="0" borderId="0" xfId="0" applyNumberFormat="1" applyBorder="1"/>
    <xf numFmtId="2" fontId="1" fillId="2" borderId="0" xfId="0" applyNumberFormat="1" applyFont="1" applyFill="1" applyBorder="1"/>
    <xf numFmtId="165" fontId="1" fillId="2" borderId="0" xfId="0" applyNumberFormat="1" applyFont="1" applyFill="1" applyBorder="1"/>
    <xf numFmtId="2" fontId="0" fillId="0" borderId="0" xfId="0" applyNumberFormat="1" applyFont="1" applyBorder="1"/>
    <xf numFmtId="164" fontId="1" fillId="2" borderId="0" xfId="0" applyNumberFormat="1" applyFont="1" applyFill="1" applyBorder="1"/>
    <xf numFmtId="2" fontId="0" fillId="4" borderId="0" xfId="0" applyNumberFormat="1" applyFill="1" applyBorder="1"/>
    <xf numFmtId="0" fontId="0" fillId="7" borderId="19" xfId="0" applyFill="1" applyBorder="1"/>
    <xf numFmtId="0" fontId="0" fillId="2" borderId="19" xfId="0" applyFill="1" applyBorder="1"/>
    <xf numFmtId="0" fontId="3" fillId="0" borderId="20" xfId="0" applyFont="1" applyBorder="1"/>
    <xf numFmtId="0" fontId="0" fillId="0" borderId="19" xfId="0" applyFill="1" applyBorder="1"/>
    <xf numFmtId="0" fontId="3" fillId="2" borderId="0" xfId="0" applyFont="1" applyFill="1" applyBorder="1"/>
    <xf numFmtId="2" fontId="3" fillId="2" borderId="0" xfId="0" applyNumberFormat="1" applyFont="1" applyFill="1" applyBorder="1"/>
    <xf numFmtId="2" fontId="0" fillId="0" borderId="19" xfId="0" applyNumberFormat="1" applyBorder="1"/>
    <xf numFmtId="2" fontId="1" fillId="2" borderId="19" xfId="0" applyNumberFormat="1" applyFont="1" applyFill="1" applyBorder="1"/>
    <xf numFmtId="2" fontId="1" fillId="0" borderId="19" xfId="0" applyNumberFormat="1" applyFont="1" applyFill="1" applyBorder="1"/>
    <xf numFmtId="2" fontId="1" fillId="2" borderId="21" xfId="0" applyNumberFormat="1" applyFont="1" applyFill="1" applyBorder="1"/>
    <xf numFmtId="0" fontId="0" fillId="2" borderId="20" xfId="0" applyFill="1" applyBorder="1"/>
    <xf numFmtId="0" fontId="5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20" xfId="0" applyBorder="1"/>
    <xf numFmtId="0" fontId="0" fillId="0" borderId="20" xfId="0" applyFill="1" applyBorder="1"/>
    <xf numFmtId="0" fontId="24" fillId="0" borderId="0" xfId="0" applyFont="1" applyFill="1" applyBorder="1" applyAlignment="1">
      <alignment horizontal="center"/>
    </xf>
    <xf numFmtId="2" fontId="0" fillId="5" borderId="20" xfId="0" applyNumberFormat="1" applyFill="1" applyBorder="1"/>
    <xf numFmtId="0" fontId="1" fillId="2" borderId="19" xfId="0" applyFont="1" applyFill="1" applyBorder="1"/>
    <xf numFmtId="2" fontId="1" fillId="2" borderId="20" xfId="0" applyNumberFormat="1" applyFont="1" applyFill="1" applyBorder="1"/>
    <xf numFmtId="0" fontId="1" fillId="0" borderId="19" xfId="0" applyFont="1" applyFill="1" applyBorder="1"/>
    <xf numFmtId="2" fontId="1" fillId="0" borderId="20" xfId="0" applyNumberFormat="1" applyFont="1" applyFill="1" applyBorder="1"/>
    <xf numFmtId="2" fontId="0" fillId="0" borderId="20" xfId="0" applyNumberFormat="1" applyFill="1" applyBorder="1"/>
    <xf numFmtId="164" fontId="0" fillId="0" borderId="19" xfId="0" applyNumberFormat="1" applyBorder="1"/>
    <xf numFmtId="2" fontId="0" fillId="0" borderId="20" xfId="0" applyNumberFormat="1" applyFont="1" applyFill="1" applyBorder="1"/>
    <xf numFmtId="0" fontId="1" fillId="2" borderId="21" xfId="0" applyFont="1" applyFill="1" applyBorder="1"/>
    <xf numFmtId="2" fontId="1" fillId="2" borderId="22" xfId="0" applyNumberFormat="1" applyFont="1" applyFill="1" applyBorder="1"/>
    <xf numFmtId="0" fontId="1" fillId="3" borderId="19" xfId="0" applyFont="1" applyFill="1" applyBorder="1"/>
    <xf numFmtId="0" fontId="1" fillId="3" borderId="0" xfId="0" applyFont="1" applyFill="1" applyBorder="1"/>
    <xf numFmtId="0" fontId="1" fillId="3" borderId="20" xfId="0" applyFont="1" applyFill="1" applyBorder="1"/>
    <xf numFmtId="0" fontId="5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6" borderId="20" xfId="0" applyFill="1" applyBorder="1"/>
    <xf numFmtId="2" fontId="0" fillId="0" borderId="21" xfId="0" applyNumberFormat="1" applyBorder="1"/>
    <xf numFmtId="0" fontId="3" fillId="2" borderId="19" xfId="0" applyFont="1" applyFill="1" applyBorder="1" applyAlignment="1">
      <alignment horizontal="center" vertical="center" wrapText="1"/>
    </xf>
    <xf numFmtId="164" fontId="0" fillId="0" borderId="19" xfId="0" applyNumberFormat="1" applyFont="1" applyBorder="1"/>
    <xf numFmtId="164" fontId="0" fillId="0" borderId="21" xfId="0" applyNumberFormat="1" applyFont="1" applyBorder="1"/>
    <xf numFmtId="164" fontId="0" fillId="0" borderId="20" xfId="0" applyNumberFormat="1" applyBorder="1"/>
    <xf numFmtId="164" fontId="1" fillId="0" borderId="20" xfId="0" applyNumberFormat="1" applyFont="1" applyBorder="1"/>
    <xf numFmtId="164" fontId="1" fillId="0" borderId="22" xfId="0" applyNumberFormat="1" applyFont="1" applyBorder="1"/>
    <xf numFmtId="170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wrapText="1"/>
    </xf>
    <xf numFmtId="170" fontId="1" fillId="0" borderId="0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7" fillId="44" borderId="0" xfId="0" applyFont="1" applyFill="1" applyBorder="1" applyAlignment="1">
      <alignment wrapText="1"/>
    </xf>
    <xf numFmtId="0" fontId="1" fillId="44" borderId="0" xfId="0" applyFont="1" applyFill="1" applyBorder="1" applyAlignment="1">
      <alignment horizontal="center"/>
    </xf>
    <xf numFmtId="0" fontId="7" fillId="44" borderId="0" xfId="0" applyFont="1" applyFill="1" applyBorder="1" applyAlignment="1">
      <alignment horizontal="center" wrapText="1"/>
    </xf>
    <xf numFmtId="0" fontId="0" fillId="44" borderId="20" xfId="0" applyFill="1" applyBorder="1"/>
    <xf numFmtId="0" fontId="43" fillId="0" borderId="0" xfId="0" applyFont="1"/>
    <xf numFmtId="164" fontId="43" fillId="0" borderId="0" xfId="0" applyNumberFormat="1" applyFont="1"/>
    <xf numFmtId="0" fontId="0" fillId="0" borderId="0" xfId="0" applyFont="1" applyBorder="1" applyAlignment="1">
      <alignment wrapText="1"/>
    </xf>
    <xf numFmtId="0" fontId="33" fillId="0" borderId="0" xfId="0" applyFont="1" applyAlignment="1">
      <alignment horizontal="center"/>
    </xf>
    <xf numFmtId="0" fontId="1" fillId="4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42" borderId="2" xfId="0" applyFont="1" applyFill="1" applyBorder="1" applyAlignment="1">
      <alignment horizontal="center"/>
    </xf>
    <xf numFmtId="0" fontId="24" fillId="50" borderId="0" xfId="0" applyFont="1" applyFill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7" borderId="0" xfId="0" applyFont="1" applyFill="1" applyAlignment="1">
      <alignment horizontal="center"/>
    </xf>
    <xf numFmtId="0" fontId="24" fillId="51" borderId="17" xfId="0" applyFont="1" applyFill="1" applyBorder="1" applyAlignment="1">
      <alignment horizontal="center"/>
    </xf>
    <xf numFmtId="0" fontId="24" fillId="51" borderId="2" xfId="0" applyFont="1" applyFill="1" applyBorder="1" applyAlignment="1">
      <alignment horizontal="center"/>
    </xf>
    <xf numFmtId="0" fontId="24" fillId="51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/>
    </xf>
    <xf numFmtId="0" fontId="3" fillId="43" borderId="0" xfId="0" applyFont="1" applyFill="1" applyBorder="1" applyAlignment="1">
      <alignment horizontal="center" wrapText="1"/>
    </xf>
    <xf numFmtId="170" fontId="1" fillId="43" borderId="1" xfId="0" applyNumberFormat="1" applyFont="1" applyFill="1" applyBorder="1" applyAlignment="1">
      <alignment horizontal="center"/>
    </xf>
    <xf numFmtId="0" fontId="3" fillId="43" borderId="20" xfId="0" applyFont="1" applyFill="1" applyBorder="1" applyAlignment="1">
      <alignment horizontal="center" wrapText="1"/>
    </xf>
    <xf numFmtId="170" fontId="1" fillId="43" borderId="0" xfId="0" applyNumberFormat="1" applyFont="1" applyFill="1" applyBorder="1" applyAlignment="1">
      <alignment horizontal="center"/>
    </xf>
    <xf numFmtId="170" fontId="1" fillId="43" borderId="20" xfId="0" applyNumberFormat="1" applyFont="1" applyFill="1" applyBorder="1" applyAlignment="1">
      <alignment horizontal="center"/>
    </xf>
    <xf numFmtId="0" fontId="21" fillId="52" borderId="17" xfId="0" applyFont="1" applyFill="1" applyBorder="1" applyAlignment="1">
      <alignment horizontal="center"/>
    </xf>
    <xf numFmtId="0" fontId="21" fillId="52" borderId="2" xfId="0" applyFont="1" applyFill="1" applyBorder="1" applyAlignment="1">
      <alignment horizontal="center"/>
    </xf>
    <xf numFmtId="0" fontId="21" fillId="52" borderId="18" xfId="0" applyFont="1" applyFill="1" applyBorder="1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eutral 2" xfId="42"/>
    <cellStyle name="Neutral 3" xfId="44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13"/>
  <sheetViews>
    <sheetView workbookViewId="0">
      <selection activeCell="B8" sqref="B8"/>
    </sheetView>
  </sheetViews>
  <sheetFormatPr defaultRowHeight="15" x14ac:dyDescent="0.25"/>
  <cols>
    <col min="1" max="1" width="25.7109375" customWidth="1"/>
    <col min="2" max="2" width="21.140625" customWidth="1"/>
  </cols>
  <sheetData>
    <row r="1" spans="1:3" ht="23.25" x14ac:dyDescent="0.35">
      <c r="A1" s="207" t="s">
        <v>163</v>
      </c>
      <c r="B1" s="207"/>
    </row>
    <row r="2" spans="1:3" x14ac:dyDescent="0.25">
      <c r="A2" s="111" t="s">
        <v>164</v>
      </c>
      <c r="B2" s="110" t="s">
        <v>165</v>
      </c>
    </row>
    <row r="3" spans="1:3" x14ac:dyDescent="0.25">
      <c r="B3" s="110" t="s">
        <v>166</v>
      </c>
    </row>
    <row r="4" spans="1:3" x14ac:dyDescent="0.25">
      <c r="B4" s="110" t="s">
        <v>167</v>
      </c>
    </row>
    <row r="5" spans="1:3" x14ac:dyDescent="0.25">
      <c r="B5" t="s">
        <v>168</v>
      </c>
      <c r="C5" t="s">
        <v>203</v>
      </c>
    </row>
    <row r="6" spans="1:3" x14ac:dyDescent="0.25">
      <c r="A6" s="112" t="s">
        <v>169</v>
      </c>
      <c r="B6" s="110" t="s">
        <v>170</v>
      </c>
    </row>
    <row r="7" spans="1:3" x14ac:dyDescent="0.25">
      <c r="B7" s="110" t="s">
        <v>171</v>
      </c>
    </row>
    <row r="8" spans="1:3" x14ac:dyDescent="0.25">
      <c r="A8" s="83" t="s">
        <v>79</v>
      </c>
      <c r="B8" s="110" t="s">
        <v>172</v>
      </c>
    </row>
    <row r="9" spans="1:3" x14ac:dyDescent="0.25">
      <c r="B9" s="110" t="s">
        <v>173</v>
      </c>
    </row>
    <row r="10" spans="1:3" x14ac:dyDescent="0.25">
      <c r="B10" s="110" t="s">
        <v>174</v>
      </c>
    </row>
    <row r="11" spans="1:3" x14ac:dyDescent="0.25">
      <c r="A11" s="119" t="s">
        <v>175</v>
      </c>
      <c r="B11" s="110" t="s">
        <v>176</v>
      </c>
    </row>
    <row r="12" spans="1:3" x14ac:dyDescent="0.25">
      <c r="B12" s="110" t="s">
        <v>177</v>
      </c>
    </row>
    <row r="13" spans="1:3" x14ac:dyDescent="0.25">
      <c r="A13" s="130" t="s">
        <v>212</v>
      </c>
    </row>
  </sheetData>
  <sheetProtection algorithmName="SHA-512" hashValue="yha5AWEn3TGD7bqhR6oD6mh8jC1Uf5f4PFJggZZ3b+aSepMcS8bvwZDh9IOIzufxFCHPiDCCetEGc958ElYbow==" saltValue="SeQF2eKroCTUEwPOIOQDhQ==" spinCount="100000" sheet="1" objects="1" scenarios="1"/>
  <mergeCells count="1">
    <mergeCell ref="A1:B1"/>
  </mergeCells>
  <hyperlinks>
    <hyperlink ref="B2" location="'Pulp paper demand'!A1" display="Pulp and paper"/>
    <hyperlink ref="B3" location="'Heat and Power demand'!A1" display="Heat and power plants"/>
    <hyperlink ref="B4" location="'Sawmills demand'!A1" display="Sawmills"/>
    <hyperlink ref="B6" location="Biomass_availability!A1" display="Biomass"/>
    <hyperlink ref="B7" location="Waste_availability!A1" display="Waste"/>
    <hyperlink ref="B8" location="'Feedstock cost'!A1" display="Biomass and waste"/>
    <hyperlink ref="B9" location="'Upgrading Technology Cost'!A1" display="Upgrading cost"/>
    <hyperlink ref="B10" location="PPP!A1" display="PPP"/>
    <hyperlink ref="B11" location="Fossil_Steel!A1" display="Energy, emission and cost within steel plant"/>
    <hyperlink ref="B12" location="Fossil_Steel_substitution!A1" display="Substitution potential of each steel plan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J17"/>
  <sheetViews>
    <sheetView zoomScale="115" zoomScaleNormal="115" workbookViewId="0"/>
  </sheetViews>
  <sheetFormatPr defaultRowHeight="15" x14ac:dyDescent="0.25"/>
  <cols>
    <col min="1" max="1" width="14.42578125" customWidth="1"/>
    <col min="2" max="2" width="11.140625" customWidth="1"/>
    <col min="3" max="3" width="13.140625" customWidth="1"/>
    <col min="4" max="4" width="10.85546875" customWidth="1"/>
  </cols>
  <sheetData>
    <row r="1" spans="1:10" s="100" customFormat="1" x14ac:dyDescent="0.25">
      <c r="A1" s="124" t="s">
        <v>184</v>
      </c>
      <c r="B1" s="124"/>
      <c r="C1" s="124"/>
      <c r="D1" s="124"/>
      <c r="E1" s="124"/>
      <c r="F1" s="124"/>
      <c r="G1" s="124"/>
      <c r="H1" s="120"/>
      <c r="I1" s="120"/>
      <c r="J1" s="120"/>
    </row>
    <row r="2" spans="1:10" x14ac:dyDescent="0.25">
      <c r="A2" s="214" t="s">
        <v>32</v>
      </c>
      <c r="B2" s="214"/>
      <c r="C2" s="214"/>
      <c r="D2" s="214"/>
      <c r="E2" s="214"/>
    </row>
    <row r="3" spans="1:10" x14ac:dyDescent="0.25">
      <c r="B3" t="s">
        <v>27</v>
      </c>
      <c r="C3" t="s">
        <v>29</v>
      </c>
      <c r="D3" t="s">
        <v>30</v>
      </c>
      <c r="E3" t="s">
        <v>31</v>
      </c>
    </row>
    <row r="4" spans="1:10" x14ac:dyDescent="0.25">
      <c r="A4" t="s">
        <v>0</v>
      </c>
      <c r="B4" s="20">
        <v>0.1</v>
      </c>
      <c r="C4" t="s">
        <v>28</v>
      </c>
      <c r="D4" t="s">
        <v>28</v>
      </c>
      <c r="E4">
        <v>0</v>
      </c>
    </row>
    <row r="5" spans="1:10" ht="17.25" x14ac:dyDescent="0.25">
      <c r="A5" t="s">
        <v>26</v>
      </c>
      <c r="B5" s="133" t="s">
        <v>244</v>
      </c>
      <c r="C5" t="s">
        <v>28</v>
      </c>
      <c r="D5" t="s">
        <v>28</v>
      </c>
      <c r="E5">
        <v>0</v>
      </c>
    </row>
    <row r="6" spans="1:10" x14ac:dyDescent="0.25">
      <c r="A6" t="s">
        <v>5</v>
      </c>
      <c r="B6" s="20">
        <v>1</v>
      </c>
      <c r="C6" t="s">
        <v>28</v>
      </c>
      <c r="D6" t="s">
        <v>28</v>
      </c>
      <c r="E6">
        <v>0</v>
      </c>
    </row>
    <row r="7" spans="1:10" ht="15.75" customHeight="1" x14ac:dyDescent="0.25">
      <c r="A7" t="s">
        <v>6</v>
      </c>
      <c r="B7" s="20">
        <v>1</v>
      </c>
      <c r="C7" s="20">
        <v>0.2</v>
      </c>
      <c r="D7" s="20">
        <v>0.249</v>
      </c>
      <c r="E7" s="21">
        <v>0.22800000000000001</v>
      </c>
    </row>
    <row r="8" spans="1:10" s="100" customFormat="1" ht="15.75" customHeight="1" x14ac:dyDescent="0.25">
      <c r="B8" s="20" t="s">
        <v>245</v>
      </c>
      <c r="C8" s="20"/>
      <c r="D8" s="20"/>
      <c r="E8" s="21"/>
    </row>
    <row r="10" spans="1:10" ht="17.25" x14ac:dyDescent="0.25">
      <c r="A10" s="214" t="s">
        <v>243</v>
      </c>
      <c r="B10" s="214"/>
      <c r="C10" s="214"/>
      <c r="D10" s="214"/>
      <c r="E10" s="214"/>
    </row>
    <row r="11" spans="1:10" x14ac:dyDescent="0.25">
      <c r="B11" t="s">
        <v>27</v>
      </c>
      <c r="C11" t="s">
        <v>29</v>
      </c>
      <c r="D11" t="s">
        <v>30</v>
      </c>
      <c r="E11" t="s">
        <v>31</v>
      </c>
    </row>
    <row r="12" spans="1:10" x14ac:dyDescent="0.25">
      <c r="A12" t="s">
        <v>0</v>
      </c>
      <c r="B12" s="2">
        <f>0.1*Fossil_Steel!R12</f>
        <v>1.4996023198011601</v>
      </c>
      <c r="C12" s="2" t="s">
        <v>28</v>
      </c>
      <c r="D12" s="2" t="s">
        <v>28</v>
      </c>
      <c r="E12" s="2" t="s">
        <v>28</v>
      </c>
    </row>
    <row r="13" spans="1:10" x14ac:dyDescent="0.25">
      <c r="A13" t="s">
        <v>26</v>
      </c>
      <c r="B13" s="2">
        <f>45/1000*Fossil_Steel!F3/1000*Fossil_Steel!B16</f>
        <v>1.1700139188069594</v>
      </c>
      <c r="C13" s="2" t="s">
        <v>28</v>
      </c>
      <c r="D13" s="2" t="s">
        <v>28</v>
      </c>
      <c r="E13" s="2" t="s">
        <v>28</v>
      </c>
    </row>
    <row r="14" spans="1:10" x14ac:dyDescent="0.25">
      <c r="A14" t="s">
        <v>5</v>
      </c>
      <c r="B14" s="2">
        <f>Fossil_Steel!R17</f>
        <v>1.4848163490748414</v>
      </c>
      <c r="C14" s="2" t="s">
        <v>28</v>
      </c>
      <c r="D14" s="2" t="s">
        <v>28</v>
      </c>
      <c r="E14" s="2" t="s">
        <v>28</v>
      </c>
    </row>
    <row r="15" spans="1:10" x14ac:dyDescent="0.25">
      <c r="A15" t="s">
        <v>6</v>
      </c>
      <c r="B15" s="2">
        <f>Fossil_Steel!R22</f>
        <v>4.6324183006535948</v>
      </c>
      <c r="C15" s="2">
        <f>0.2*Fossil_Steel!R22</f>
        <v>0.92648366013071903</v>
      </c>
      <c r="D15" s="2">
        <f>0.249*Fossil_Steel!R22</f>
        <v>1.1534721568627451</v>
      </c>
      <c r="E15" s="2">
        <f>0.228*Fossil_Steel!R22</f>
        <v>1.0561913725490197</v>
      </c>
    </row>
    <row r="17" spans="1:3" ht="107.25" x14ac:dyDescent="0.25">
      <c r="A17" s="84" t="s">
        <v>242</v>
      </c>
      <c r="B17" s="87">
        <f>B13+B14+B15</f>
        <v>7.2872485685353956</v>
      </c>
      <c r="C17" s="103">
        <f>B15+1.377666*(B13+B14)</f>
        <v>8.2898876964852448</v>
      </c>
    </row>
  </sheetData>
  <sheetProtection algorithmName="SHA-512" hashValue="7USqHHx2xkZf4VxqAcXQVaRUPFdL8w65tBrWRWaeC7ZalnZzs7IbHV7IA1QSFCpcyRNI9wfDpcDFo/grnQaWiw==" saltValue="jMjU3gwbmgNWhKcM2B97vQ==" spinCount="100000" sheet="1" objects="1" scenarios="1"/>
  <mergeCells count="2">
    <mergeCell ref="A2:E2"/>
    <mergeCell ref="A10:E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F36"/>
  <sheetViews>
    <sheetView zoomScaleNormal="100" workbookViewId="0">
      <pane xSplit="1" topLeftCell="B1" activePane="topRight" state="frozenSplit"/>
      <selection pane="topRight"/>
    </sheetView>
  </sheetViews>
  <sheetFormatPr defaultRowHeight="15" x14ac:dyDescent="0.25"/>
  <cols>
    <col min="1" max="1" width="15.85546875" customWidth="1"/>
    <col min="2" max="2" width="15" customWidth="1"/>
    <col min="3" max="3" width="15.42578125" customWidth="1"/>
    <col min="4" max="4" width="4.85546875" customWidth="1"/>
    <col min="5" max="5" width="12.42578125" customWidth="1"/>
    <col min="6" max="6" width="10.140625" customWidth="1"/>
    <col min="7" max="7" width="8.140625" customWidth="1"/>
    <col min="8" max="8" width="12.140625" customWidth="1"/>
    <col min="9" max="9" width="22" customWidth="1"/>
    <col min="10" max="10" width="13.7109375" style="100" customWidth="1"/>
    <col min="11" max="11" width="5.5703125" style="100" customWidth="1"/>
    <col min="12" max="12" width="8.5703125" style="100" customWidth="1"/>
    <col min="13" max="13" width="15.28515625" customWidth="1"/>
    <col min="14" max="14" width="10.28515625" style="100" customWidth="1"/>
    <col min="15" max="15" width="9.42578125" style="100" customWidth="1"/>
    <col min="16" max="16" width="9.5703125" style="100" customWidth="1"/>
    <col min="17" max="17" width="9.42578125" style="100" customWidth="1"/>
    <col min="18" max="18" width="9.28515625" style="100" customWidth="1"/>
    <col min="19" max="19" width="8.42578125" style="100" customWidth="1"/>
    <col min="20" max="20" width="12.28515625" customWidth="1"/>
    <col min="22" max="22" width="5.7109375" style="100" customWidth="1"/>
    <col min="23" max="23" width="11.7109375" customWidth="1"/>
    <col min="25" max="25" width="7.140625" style="100" customWidth="1"/>
    <col min="26" max="26" width="8.42578125" customWidth="1"/>
    <col min="27" max="27" width="4.7109375" customWidth="1"/>
    <col min="31" max="31" width="9.140625" style="100"/>
    <col min="32" max="32" width="12.42578125" customWidth="1"/>
  </cols>
  <sheetData>
    <row r="1" spans="1:32" s="100" customFormat="1" ht="45" x14ac:dyDescent="0.25">
      <c r="A1" s="121" t="s">
        <v>181</v>
      </c>
      <c r="B1" s="122" t="s">
        <v>182</v>
      </c>
      <c r="C1" s="123"/>
      <c r="D1" s="123"/>
      <c r="E1" s="123"/>
      <c r="F1" s="123"/>
      <c r="G1" s="123"/>
      <c r="H1" s="123"/>
    </row>
    <row r="2" spans="1:32" x14ac:dyDescent="0.25">
      <c r="A2" s="22"/>
      <c r="B2" s="22"/>
      <c r="C2" s="219" t="s">
        <v>33</v>
      </c>
      <c r="D2" s="219"/>
      <c r="E2" s="219"/>
      <c r="F2" s="219"/>
      <c r="G2" s="219"/>
    </row>
    <row r="3" spans="1:32" x14ac:dyDescent="0.25">
      <c r="A3" s="22" t="s">
        <v>19</v>
      </c>
      <c r="B3" s="22"/>
      <c r="C3" s="22">
        <v>973.6</v>
      </c>
      <c r="D3" s="22" t="s">
        <v>20</v>
      </c>
      <c r="E3" s="22"/>
      <c r="F3" s="23">
        <f>C3/C4*F4</f>
        <v>896.25333701555746</v>
      </c>
      <c r="G3" s="23">
        <v>1000</v>
      </c>
      <c r="M3" s="100"/>
    </row>
    <row r="4" spans="1:32" x14ac:dyDescent="0.25">
      <c r="A4" s="22" t="s">
        <v>9</v>
      </c>
      <c r="B4" s="22"/>
      <c r="C4" s="22">
        <v>1086.3</v>
      </c>
      <c r="D4" s="22" t="s">
        <v>20</v>
      </c>
      <c r="E4" s="22"/>
      <c r="F4" s="23">
        <v>1000</v>
      </c>
      <c r="G4" s="23">
        <f>C4/C3*1000</f>
        <v>1115.7559572719802</v>
      </c>
    </row>
    <row r="5" spans="1:32" x14ac:dyDescent="0.25">
      <c r="A5" s="22" t="s">
        <v>8</v>
      </c>
      <c r="B5" s="22"/>
      <c r="C5" s="22">
        <v>1000</v>
      </c>
      <c r="D5" s="22" t="s">
        <v>20</v>
      </c>
      <c r="E5" s="22"/>
      <c r="F5" s="23">
        <f>C5/C4*1000</f>
        <v>920.55601583356349</v>
      </c>
      <c r="G5" s="23">
        <f>C5/C3*1000</f>
        <v>1027.1158586688578</v>
      </c>
    </row>
    <row r="6" spans="1:32" s="3" customFormat="1" ht="15.75" thickBot="1" x14ac:dyDescent="0.3">
      <c r="F6" s="116"/>
      <c r="G6" s="116"/>
    </row>
    <row r="7" spans="1:32" s="43" customFormat="1" x14ac:dyDescent="0.25">
      <c r="B7" s="220" t="s">
        <v>251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2"/>
      <c r="N7" s="172"/>
      <c r="O7" s="220" t="s">
        <v>246</v>
      </c>
      <c r="P7" s="221"/>
      <c r="Q7" s="221"/>
      <c r="R7" s="222"/>
      <c r="S7" s="172"/>
      <c r="T7" s="220" t="s">
        <v>22</v>
      </c>
      <c r="U7" s="221"/>
      <c r="V7" s="221"/>
      <c r="W7" s="221"/>
      <c r="X7" s="221"/>
      <c r="Y7" s="221"/>
      <c r="Z7" s="221"/>
      <c r="AA7" s="221"/>
      <c r="AB7" s="221"/>
      <c r="AC7" s="222"/>
      <c r="AE7" s="220" t="s">
        <v>140</v>
      </c>
      <c r="AF7" s="222"/>
    </row>
    <row r="8" spans="1:32" s="43" customFormat="1" ht="18" customHeight="1" x14ac:dyDescent="0.35">
      <c r="A8" s="156" t="s">
        <v>250</v>
      </c>
      <c r="B8" s="223" t="s">
        <v>252</v>
      </c>
      <c r="C8" s="224"/>
      <c r="D8" s="11"/>
      <c r="E8" s="225" t="s">
        <v>253</v>
      </c>
      <c r="F8" s="225"/>
      <c r="H8" s="224" t="s">
        <v>254</v>
      </c>
      <c r="I8" s="224"/>
      <c r="J8" s="224"/>
      <c r="K8" s="168"/>
      <c r="L8" s="224" t="s">
        <v>261</v>
      </c>
      <c r="M8" s="226"/>
      <c r="N8" s="169"/>
      <c r="O8" s="183" t="s">
        <v>263</v>
      </c>
      <c r="Q8" s="184" t="s">
        <v>264</v>
      </c>
      <c r="R8" s="185" t="s">
        <v>264</v>
      </c>
      <c r="S8" s="169"/>
      <c r="T8" s="223" t="s">
        <v>258</v>
      </c>
      <c r="U8" s="224"/>
      <c r="V8" s="168"/>
      <c r="W8" s="224" t="s">
        <v>260</v>
      </c>
      <c r="X8" s="224"/>
      <c r="Y8" s="169"/>
      <c r="Z8" s="224" t="s">
        <v>266</v>
      </c>
      <c r="AA8" s="224"/>
      <c r="AB8" s="224"/>
      <c r="AC8" s="226"/>
      <c r="AD8" s="11"/>
      <c r="AE8" s="183" t="s">
        <v>268</v>
      </c>
      <c r="AF8" s="185" t="s">
        <v>269</v>
      </c>
    </row>
    <row r="9" spans="1:32" s="43" customFormat="1" ht="25.5" customHeight="1" x14ac:dyDescent="0.35">
      <c r="A9" s="157" t="s">
        <v>0</v>
      </c>
      <c r="B9" s="157" t="s">
        <v>247</v>
      </c>
      <c r="C9" s="140" t="s">
        <v>14</v>
      </c>
      <c r="D9" s="11"/>
      <c r="E9" s="160" t="s">
        <v>10</v>
      </c>
      <c r="F9" s="141" t="s">
        <v>14</v>
      </c>
      <c r="H9" s="139" t="s">
        <v>255</v>
      </c>
      <c r="I9" s="142" t="s">
        <v>16</v>
      </c>
      <c r="J9" s="139" t="s">
        <v>256</v>
      </c>
      <c r="K9" s="142"/>
      <c r="L9" s="143" t="s">
        <v>262</v>
      </c>
      <c r="M9" s="158" t="s">
        <v>14</v>
      </c>
      <c r="N9" s="141"/>
      <c r="O9" s="157" t="s">
        <v>265</v>
      </c>
      <c r="P9" s="141" t="s">
        <v>14</v>
      </c>
      <c r="Q9" s="139" t="s">
        <v>265</v>
      </c>
      <c r="R9" s="166" t="s">
        <v>232</v>
      </c>
      <c r="S9" s="141"/>
      <c r="T9" s="186" t="s">
        <v>259</v>
      </c>
      <c r="U9" s="141" t="s">
        <v>14</v>
      </c>
      <c r="V9" s="141"/>
      <c r="W9" s="143" t="s">
        <v>259</v>
      </c>
      <c r="X9" s="141" t="s">
        <v>14</v>
      </c>
      <c r="Y9" s="141"/>
      <c r="Z9" s="144" t="s">
        <v>267</v>
      </c>
      <c r="AB9" s="144" t="s">
        <v>271</v>
      </c>
      <c r="AC9" s="187" t="s">
        <v>272</v>
      </c>
      <c r="AD9" s="145"/>
      <c r="AE9" s="190" t="s">
        <v>270</v>
      </c>
      <c r="AF9" s="187" t="s">
        <v>270</v>
      </c>
    </row>
    <row r="10" spans="1:32" s="43" customFormat="1" x14ac:dyDescent="0.25">
      <c r="A10" s="70" t="s">
        <v>1</v>
      </c>
      <c r="B10" s="162"/>
      <c r="C10" s="146"/>
      <c r="D10" s="11"/>
      <c r="E10" s="147"/>
      <c r="F10" s="141"/>
      <c r="H10" s="148"/>
      <c r="J10" s="72"/>
      <c r="L10" s="43">
        <v>8</v>
      </c>
      <c r="M10" s="170" t="s">
        <v>21</v>
      </c>
      <c r="O10" s="70">
        <v>314.3</v>
      </c>
      <c r="P10" s="14" t="s">
        <v>17</v>
      </c>
      <c r="Q10" s="150">
        <f>O10*C5/C4</f>
        <v>289.33075577648901</v>
      </c>
      <c r="R10" s="173"/>
      <c r="T10" s="162">
        <v>148</v>
      </c>
      <c r="U10" s="43" t="s">
        <v>21</v>
      </c>
      <c r="W10" s="107">
        <v>21</v>
      </c>
      <c r="X10" s="43" t="s">
        <v>21</v>
      </c>
      <c r="Z10" s="107">
        <f>(T10+W10)/(100-L10)*100</f>
        <v>183.69565217391303</v>
      </c>
      <c r="AB10" s="147"/>
      <c r="AC10" s="188"/>
      <c r="AE10" s="179">
        <f>Z10*Q10/1000</f>
        <v>53.148801876333302</v>
      </c>
      <c r="AF10" s="193">
        <f>Z10*O10/1000</f>
        <v>57.735543478260873</v>
      </c>
    </row>
    <row r="11" spans="1:32" s="43" customFormat="1" x14ac:dyDescent="0.25">
      <c r="A11" s="70" t="s">
        <v>2</v>
      </c>
      <c r="B11" s="162"/>
      <c r="C11" s="146"/>
      <c r="D11" s="11"/>
      <c r="E11" s="147"/>
      <c r="F11" s="141"/>
      <c r="H11" s="148"/>
      <c r="J11" s="72"/>
      <c r="L11" s="43">
        <v>8</v>
      </c>
      <c r="M11" s="170" t="s">
        <v>21</v>
      </c>
      <c r="O11" s="70">
        <v>209.5</v>
      </c>
      <c r="P11" s="14" t="s">
        <v>17</v>
      </c>
      <c r="Q11" s="150">
        <f>O11*$C$5/$C$4</f>
        <v>192.85648531713156</v>
      </c>
      <c r="R11" s="173"/>
      <c r="T11" s="162">
        <v>107</v>
      </c>
      <c r="U11" s="43" t="s">
        <v>21</v>
      </c>
      <c r="W11" s="107">
        <v>21</v>
      </c>
      <c r="X11" s="43" t="s">
        <v>21</v>
      </c>
      <c r="Z11" s="107">
        <f>(T11+W11)/(100-L11)*100</f>
        <v>139.13043478260869</v>
      </c>
      <c r="AB11" s="147"/>
      <c r="AC11" s="188"/>
      <c r="AE11" s="179">
        <f>Z11*Q11/1000</f>
        <v>26.832206652818304</v>
      </c>
      <c r="AF11" s="193">
        <f>Z11*O11/1000</f>
        <v>29.14782608695652</v>
      </c>
    </row>
    <row r="12" spans="1:32" s="43" customFormat="1" x14ac:dyDescent="0.25">
      <c r="A12" s="70"/>
      <c r="B12" s="163">
        <v>31.1</v>
      </c>
      <c r="C12" s="141" t="s">
        <v>11</v>
      </c>
      <c r="D12" s="11"/>
      <c r="E12" s="151">
        <v>78.849999999999994</v>
      </c>
      <c r="F12" s="141" t="s">
        <v>11</v>
      </c>
      <c r="H12" s="151">
        <f>E12/100*44/12</f>
        <v>2.8911666666666669</v>
      </c>
      <c r="I12" s="167" t="s">
        <v>257</v>
      </c>
      <c r="J12" s="152">
        <f>H12/B12</f>
        <v>9.2963558413719186E-2</v>
      </c>
      <c r="K12" s="167"/>
      <c r="M12" s="170"/>
      <c r="O12" s="174">
        <f>SUM(O10:O11)</f>
        <v>523.79999999999995</v>
      </c>
      <c r="P12" s="15"/>
      <c r="Q12" s="154">
        <f>O12*$C$5/$C$4</f>
        <v>482.18724109362051</v>
      </c>
      <c r="R12" s="175">
        <f>Q12*B12/1000</f>
        <v>14.996023198011599</v>
      </c>
      <c r="T12" s="70"/>
      <c r="Z12" s="107"/>
      <c r="AB12" s="153">
        <f>AE12/R12</f>
        <v>5.333481248532391</v>
      </c>
      <c r="AC12" s="175">
        <f>AB12/1.34</f>
        <v>3.9802098869644706</v>
      </c>
      <c r="AE12" s="191">
        <f>SUM(AE10:AE11)</f>
        <v>79.981008529151609</v>
      </c>
      <c r="AF12" s="194">
        <f>SUM(AF10:AF11)</f>
        <v>86.883369565217393</v>
      </c>
    </row>
    <row r="13" spans="1:32" s="11" customFormat="1" x14ac:dyDescent="0.25">
      <c r="A13" s="159"/>
      <c r="B13" s="164"/>
      <c r="C13" s="14"/>
      <c r="E13" s="12"/>
      <c r="F13" s="14"/>
      <c r="H13" s="12"/>
      <c r="I13" s="14"/>
      <c r="J13" s="18"/>
      <c r="K13" s="14"/>
      <c r="M13" s="171"/>
      <c r="O13" s="176"/>
      <c r="P13" s="15"/>
      <c r="Q13" s="13"/>
      <c r="R13" s="177"/>
      <c r="T13" s="159"/>
      <c r="Z13" s="43"/>
      <c r="AC13" s="171"/>
      <c r="AE13" s="159"/>
      <c r="AF13" s="171"/>
    </row>
    <row r="14" spans="1:32" s="43" customFormat="1" x14ac:dyDescent="0.25">
      <c r="A14" s="70"/>
      <c r="B14" s="162"/>
      <c r="C14" s="146"/>
      <c r="D14" s="11"/>
      <c r="E14" s="107"/>
      <c r="F14" s="141"/>
      <c r="H14" s="107"/>
      <c r="J14" s="72"/>
      <c r="M14" s="170"/>
      <c r="O14" s="70"/>
      <c r="P14" s="14"/>
      <c r="Q14" s="150"/>
      <c r="R14" s="178"/>
      <c r="T14" s="70"/>
      <c r="AC14" s="170"/>
      <c r="AE14" s="70"/>
      <c r="AF14" s="170"/>
    </row>
    <row r="15" spans="1:32" s="43" customFormat="1" ht="24" customHeight="1" x14ac:dyDescent="0.35">
      <c r="A15" s="157" t="s">
        <v>3</v>
      </c>
      <c r="B15" s="157" t="s">
        <v>247</v>
      </c>
      <c r="C15" s="14"/>
      <c r="D15" s="11"/>
      <c r="E15" s="161" t="s">
        <v>10</v>
      </c>
      <c r="F15" s="141"/>
      <c r="H15" s="139" t="s">
        <v>255</v>
      </c>
      <c r="J15" s="139" t="s">
        <v>256</v>
      </c>
      <c r="L15" s="143" t="s">
        <v>262</v>
      </c>
      <c r="M15" s="158" t="s">
        <v>14</v>
      </c>
      <c r="N15" s="141"/>
      <c r="O15" s="157" t="s">
        <v>265</v>
      </c>
      <c r="P15" s="14"/>
      <c r="Q15" s="139" t="s">
        <v>265</v>
      </c>
      <c r="R15" s="166" t="s">
        <v>232</v>
      </c>
      <c r="S15" s="141"/>
      <c r="T15" s="186" t="s">
        <v>259</v>
      </c>
      <c r="U15" s="141" t="s">
        <v>14</v>
      </c>
      <c r="V15" s="141"/>
      <c r="W15" s="143" t="s">
        <v>259</v>
      </c>
      <c r="X15" s="141" t="s">
        <v>14</v>
      </c>
      <c r="Y15" s="141"/>
      <c r="Z15" s="144" t="s">
        <v>267</v>
      </c>
      <c r="AB15" s="144" t="s">
        <v>271</v>
      </c>
      <c r="AC15" s="187" t="s">
        <v>272</v>
      </c>
      <c r="AE15" s="190" t="s">
        <v>270</v>
      </c>
      <c r="AF15" s="187" t="s">
        <v>270</v>
      </c>
    </row>
    <row r="16" spans="1:32" s="43" customFormat="1" x14ac:dyDescent="0.25">
      <c r="A16" s="70" t="s">
        <v>4</v>
      </c>
      <c r="B16" s="162">
        <v>29.01</v>
      </c>
      <c r="C16" s="141" t="s">
        <v>12</v>
      </c>
      <c r="D16" s="11"/>
      <c r="E16" s="107">
        <v>88.05</v>
      </c>
      <c r="F16" s="141" t="s">
        <v>12</v>
      </c>
      <c r="H16" s="155"/>
      <c r="J16" s="72"/>
      <c r="L16" s="149"/>
      <c r="M16" s="170"/>
      <c r="O16" s="179">
        <v>352</v>
      </c>
      <c r="P16" s="14" t="s">
        <v>17</v>
      </c>
      <c r="Q16" s="150">
        <f>O16*$C$5/$C$4</f>
        <v>324.03571757341433</v>
      </c>
      <c r="R16" s="180">
        <f>Q16*B16/1000</f>
        <v>9.4002761668047494</v>
      </c>
      <c r="T16" s="70">
        <v>207.78</v>
      </c>
      <c r="U16" s="43" t="s">
        <v>25</v>
      </c>
      <c r="W16" s="149"/>
      <c r="Z16" s="43">
        <f>T16</f>
        <v>207.78</v>
      </c>
      <c r="AB16" s="149"/>
      <c r="AC16" s="188"/>
      <c r="AE16" s="179">
        <f>Z16*Q16/1000</f>
        <v>67.328141397404039</v>
      </c>
      <c r="AF16" s="193">
        <f>Z16*O16/1000</f>
        <v>73.138559999999998</v>
      </c>
    </row>
    <row r="17" spans="1:32" s="43" customFormat="1" x14ac:dyDescent="0.25">
      <c r="A17" s="70" t="s">
        <v>5</v>
      </c>
      <c r="B17" s="162">
        <v>29.01</v>
      </c>
      <c r="C17" s="141" t="s">
        <v>12</v>
      </c>
      <c r="D17" s="11"/>
      <c r="E17" s="107">
        <v>88.05</v>
      </c>
      <c r="F17" s="141" t="s">
        <v>12</v>
      </c>
      <c r="H17" s="155"/>
      <c r="J17" s="72"/>
      <c r="L17" s="149"/>
      <c r="M17" s="170"/>
      <c r="O17" s="179">
        <v>55.6</v>
      </c>
      <c r="P17" s="14" t="s">
        <v>17</v>
      </c>
      <c r="Q17" s="150">
        <f>O17*$C$5/$C$4</f>
        <v>51.182914480346135</v>
      </c>
      <c r="R17" s="180">
        <f>Q17*B17/1000</f>
        <v>1.4848163490748414</v>
      </c>
      <c r="T17" s="70">
        <v>207.78</v>
      </c>
      <c r="U17" s="43" t="s">
        <v>25</v>
      </c>
      <c r="W17" s="149"/>
      <c r="Z17" s="43">
        <f t="shared" ref="Z17" si="0">T17</f>
        <v>207.78</v>
      </c>
      <c r="AB17" s="149"/>
      <c r="AC17" s="188"/>
      <c r="AE17" s="179">
        <f>Z17*Q17/1000</f>
        <v>10.63478597072632</v>
      </c>
      <c r="AF17" s="193">
        <f>Z17*O17/1000</f>
        <v>11.552568000000001</v>
      </c>
    </row>
    <row r="18" spans="1:32" s="43" customFormat="1" x14ac:dyDescent="0.25">
      <c r="A18" s="70"/>
      <c r="B18" s="163">
        <v>29.01</v>
      </c>
      <c r="C18" s="16"/>
      <c r="D18" s="11"/>
      <c r="E18" s="151">
        <v>88.05</v>
      </c>
      <c r="F18" s="141"/>
      <c r="H18" s="151">
        <f>E18/100*44/12</f>
        <v>3.2284999999999999</v>
      </c>
      <c r="I18" s="141" t="s">
        <v>15</v>
      </c>
      <c r="J18" s="152">
        <f>H18/B18</f>
        <v>0.11128921061702861</v>
      </c>
      <c r="K18" s="141"/>
      <c r="L18" s="149"/>
      <c r="M18" s="170"/>
      <c r="O18" s="174">
        <f>SUM(O16:O17)</f>
        <v>407.6</v>
      </c>
      <c r="P18" s="15"/>
      <c r="Q18" s="154">
        <f>O18*$C$5/$C$4</f>
        <v>375.21863205376047</v>
      </c>
      <c r="R18" s="175">
        <f>Q18*B18/1000</f>
        <v>10.885092515879593</v>
      </c>
      <c r="T18" s="70"/>
      <c r="W18" s="149"/>
      <c r="AB18" s="153">
        <f>AE18/R18</f>
        <v>7.1623578076525325</v>
      </c>
      <c r="AC18" s="175">
        <f>AB18/1.34</f>
        <v>5.3450431400392029</v>
      </c>
      <c r="AE18" s="179">
        <f>SUM(AE16:AE17)</f>
        <v>77.962927368130352</v>
      </c>
      <c r="AF18" s="194">
        <f>SUM(AF16:AF17)</f>
        <v>84.691127999999992</v>
      </c>
    </row>
    <row r="19" spans="1:32" s="11" customFormat="1" x14ac:dyDescent="0.25">
      <c r="A19" s="159"/>
      <c r="B19" s="164"/>
      <c r="C19" s="16"/>
      <c r="E19" s="12"/>
      <c r="F19" s="14"/>
      <c r="H19" s="12"/>
      <c r="I19" s="14"/>
      <c r="J19" s="18"/>
      <c r="K19" s="14"/>
      <c r="M19" s="171"/>
      <c r="O19" s="176"/>
      <c r="P19" s="15"/>
      <c r="Q19" s="13"/>
      <c r="R19" s="177"/>
      <c r="T19" s="159"/>
      <c r="Z19" s="43"/>
      <c r="AC19" s="171"/>
      <c r="AE19" s="159"/>
      <c r="AF19" s="171"/>
    </row>
    <row r="20" spans="1:32" s="43" customFormat="1" x14ac:dyDescent="0.25">
      <c r="A20" s="70"/>
      <c r="B20" s="162"/>
      <c r="C20" s="146"/>
      <c r="D20" s="11"/>
      <c r="E20" s="107"/>
      <c r="F20" s="141"/>
      <c r="H20" s="107"/>
      <c r="J20" s="72"/>
      <c r="M20" s="170"/>
      <c r="O20" s="70"/>
      <c r="P20" s="14"/>
      <c r="Q20" s="150"/>
      <c r="R20" s="178"/>
      <c r="T20" s="70"/>
      <c r="AC20" s="170"/>
      <c r="AE20" s="70"/>
      <c r="AF20" s="170"/>
    </row>
    <row r="21" spans="1:32" s="43" customFormat="1" ht="25.5" customHeight="1" x14ac:dyDescent="0.35">
      <c r="A21" s="157" t="s">
        <v>6</v>
      </c>
      <c r="B21" s="157" t="s">
        <v>247</v>
      </c>
      <c r="C21" s="14"/>
      <c r="D21" s="11"/>
      <c r="E21" s="161" t="s">
        <v>10</v>
      </c>
      <c r="F21" s="141"/>
      <c r="H21" s="139" t="s">
        <v>255</v>
      </c>
      <c r="J21" s="139" t="s">
        <v>256</v>
      </c>
      <c r="L21" s="143" t="s">
        <v>262</v>
      </c>
      <c r="M21" s="158" t="s">
        <v>14</v>
      </c>
      <c r="N21" s="141"/>
      <c r="O21" s="157" t="s">
        <v>265</v>
      </c>
      <c r="P21" s="14"/>
      <c r="Q21" s="139" t="s">
        <v>265</v>
      </c>
      <c r="R21" s="166" t="s">
        <v>232</v>
      </c>
      <c r="S21" s="141"/>
      <c r="T21" s="186" t="s">
        <v>259</v>
      </c>
      <c r="U21" s="141" t="s">
        <v>14</v>
      </c>
      <c r="V21" s="141"/>
      <c r="W21" s="143" t="s">
        <v>259</v>
      </c>
      <c r="X21" s="141" t="s">
        <v>14</v>
      </c>
      <c r="Y21" s="141"/>
      <c r="Z21" s="144" t="s">
        <v>267</v>
      </c>
      <c r="AB21" s="144" t="s">
        <v>271</v>
      </c>
      <c r="AC21" s="187" t="s">
        <v>272</v>
      </c>
      <c r="AE21" s="190" t="s">
        <v>270</v>
      </c>
      <c r="AF21" s="187" t="s">
        <v>270</v>
      </c>
    </row>
    <row r="22" spans="1:32" s="43" customFormat="1" ht="15.75" thickBot="1" x14ac:dyDescent="0.3">
      <c r="A22" s="70" t="s">
        <v>7</v>
      </c>
      <c r="B22" s="165">
        <v>33.369999999999997</v>
      </c>
      <c r="C22" s="8" t="s">
        <v>13</v>
      </c>
      <c r="D22" s="5"/>
      <c r="E22" s="6">
        <v>87</v>
      </c>
      <c r="F22" s="8" t="s">
        <v>13</v>
      </c>
      <c r="G22" s="4"/>
      <c r="H22" s="6">
        <f>E22/100*44/12</f>
        <v>3.19</v>
      </c>
      <c r="I22" s="8" t="s">
        <v>15</v>
      </c>
      <c r="J22" s="17">
        <f>H22/B22</f>
        <v>9.559484566976327E-2</v>
      </c>
      <c r="K22" s="8"/>
      <c r="L22" s="4">
        <v>8</v>
      </c>
      <c r="M22" s="74" t="s">
        <v>21</v>
      </c>
      <c r="O22" s="181">
        <v>150.80000000000001</v>
      </c>
      <c r="P22" s="9" t="s">
        <v>18</v>
      </c>
      <c r="Q22" s="7">
        <f>O22*$C$5/$C$4</f>
        <v>138.81984718770138</v>
      </c>
      <c r="R22" s="182">
        <f>Q22*B22/1000</f>
        <v>4.6324183006535948</v>
      </c>
      <c r="T22" s="189">
        <v>109.48</v>
      </c>
      <c r="U22" s="4" t="s">
        <v>21</v>
      </c>
      <c r="V22" s="4"/>
      <c r="W22" s="10">
        <v>21</v>
      </c>
      <c r="X22" s="4" t="s">
        <v>21</v>
      </c>
      <c r="Y22" s="4"/>
      <c r="Z22" s="10">
        <f>(T22+W22)/(100-L22)*100</f>
        <v>141.82608695652178</v>
      </c>
      <c r="AA22" s="4"/>
      <c r="AB22" s="19">
        <f>AE22/R22</f>
        <v>4.250107490456152</v>
      </c>
      <c r="AC22" s="182">
        <f>AB22/1.34</f>
        <v>3.1717220078030981</v>
      </c>
      <c r="AE22" s="192">
        <f>Z22*Q22/1000</f>
        <v>19.688275718534001</v>
      </c>
      <c r="AF22" s="195">
        <f>Z22*O22/1000</f>
        <v>21.387373913043483</v>
      </c>
    </row>
    <row r="23" spans="1:32" x14ac:dyDescent="0.25">
      <c r="A23" s="43"/>
      <c r="C23" s="3"/>
      <c r="H23" s="3"/>
      <c r="T23" s="100"/>
      <c r="U23" s="100"/>
      <c r="W23" s="100"/>
      <c r="X23" s="100"/>
      <c r="Z23" s="100" t="s">
        <v>23</v>
      </c>
      <c r="AA23" s="100"/>
      <c r="AB23" s="100"/>
      <c r="AC23" s="100"/>
    </row>
    <row r="24" spans="1:32" x14ac:dyDescent="0.25">
      <c r="T24" s="100"/>
      <c r="U24" s="100"/>
      <c r="W24" s="100"/>
      <c r="X24" s="100"/>
      <c r="Z24" s="100"/>
      <c r="AA24" s="100"/>
      <c r="AB24" s="100"/>
      <c r="AC24" s="100" t="s">
        <v>24</v>
      </c>
    </row>
    <row r="25" spans="1:32" s="30" customFormat="1" x14ac:dyDescent="0.25">
      <c r="J25" s="100"/>
      <c r="K25" s="100"/>
      <c r="L25" s="100"/>
      <c r="N25" s="100"/>
      <c r="O25" s="100"/>
      <c r="P25" s="100"/>
      <c r="Q25" s="100"/>
      <c r="R25" s="100"/>
      <c r="S25" s="100"/>
      <c r="V25" s="100"/>
      <c r="Y25" s="100"/>
      <c r="AE25" s="100"/>
    </row>
    <row r="27" spans="1:32" ht="15.75" thickBot="1" x14ac:dyDescent="0.3">
      <c r="B27" s="2"/>
      <c r="L27" s="43"/>
      <c r="M27" s="11"/>
      <c r="N27" s="11"/>
    </row>
    <row r="28" spans="1:32" x14ac:dyDescent="0.25">
      <c r="A28" s="232" t="s">
        <v>123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4"/>
      <c r="L28" s="168"/>
      <c r="M28" s="168"/>
      <c r="N28" s="168"/>
    </row>
    <row r="29" spans="1:32" s="100" customFormat="1" ht="30.75" customHeight="1" x14ac:dyDescent="0.25">
      <c r="A29" s="199"/>
      <c r="B29" s="200" t="s">
        <v>273</v>
      </c>
      <c r="C29" s="200"/>
      <c r="D29" s="169"/>
      <c r="E29" s="200" t="s">
        <v>274</v>
      </c>
      <c r="F29" s="201"/>
      <c r="G29" s="201"/>
      <c r="H29" s="169"/>
      <c r="I29" s="202" t="s">
        <v>275</v>
      </c>
      <c r="J29" s="201"/>
      <c r="K29" s="203"/>
      <c r="L29" s="169"/>
      <c r="M29" s="43"/>
      <c r="N29" s="168"/>
    </row>
    <row r="30" spans="1:32" ht="43.5" customHeight="1" x14ac:dyDescent="0.25">
      <c r="A30" s="70"/>
      <c r="B30" s="43" t="s">
        <v>232</v>
      </c>
      <c r="C30" s="134" t="s">
        <v>122</v>
      </c>
      <c r="D30" s="136"/>
      <c r="E30" s="43" t="s">
        <v>235</v>
      </c>
      <c r="F30" s="227" t="s">
        <v>248</v>
      </c>
      <c r="G30" s="227"/>
      <c r="H30" s="43"/>
      <c r="I30" s="206" t="s">
        <v>279</v>
      </c>
      <c r="J30" s="227" t="s">
        <v>249</v>
      </c>
      <c r="K30" s="229"/>
      <c r="L30" s="197"/>
      <c r="M30" s="43"/>
      <c r="N30" s="138"/>
    </row>
    <row r="31" spans="1:32" ht="51.75" x14ac:dyDescent="0.25">
      <c r="A31" s="71" t="s">
        <v>125</v>
      </c>
      <c r="B31" s="107">
        <f>Fossil_Steel!R18</f>
        <v>10.885092515879593</v>
      </c>
      <c r="C31" s="43"/>
      <c r="D31" s="11"/>
      <c r="E31" s="107">
        <f>AC18*B31</f>
        <v>58.181289080694292</v>
      </c>
      <c r="F31" s="43"/>
      <c r="G31" s="43"/>
      <c r="H31" s="43"/>
      <c r="I31" s="107">
        <f>J18*Fossil_Steel!R18</f>
        <v>1.2113933535855659</v>
      </c>
      <c r="J31" s="230">
        <f>I32/I31</f>
        <v>1.1508100770204277</v>
      </c>
      <c r="K31" s="231"/>
      <c r="L31" s="198"/>
      <c r="M31" s="43"/>
      <c r="N31" s="196"/>
    </row>
    <row r="32" spans="1:32" ht="27" thickBot="1" x14ac:dyDescent="0.3">
      <c r="A32" s="73" t="s">
        <v>124</v>
      </c>
      <c r="B32" s="10">
        <f>Fossil_Steel!R12</f>
        <v>14.996023198011599</v>
      </c>
      <c r="C32" s="135">
        <f>B32/B31</f>
        <v>1.377666122371934</v>
      </c>
      <c r="D32" s="137"/>
      <c r="E32" s="10">
        <f>AC12*B32</f>
        <v>59.687319797874324</v>
      </c>
      <c r="F32" s="228">
        <f>E31/E32</f>
        <v>0.97476799557627869</v>
      </c>
      <c r="G32" s="228"/>
      <c r="H32" s="4"/>
      <c r="I32" s="10">
        <f>J12*Fossil_Steel!R12</f>
        <v>1.3940836785418393</v>
      </c>
      <c r="J32" s="4"/>
      <c r="K32" s="74"/>
      <c r="L32" s="11"/>
      <c r="M32" s="43"/>
      <c r="N32" s="11"/>
    </row>
    <row r="33" spans="13:14" x14ac:dyDescent="0.25">
      <c r="M33" s="11"/>
      <c r="N33" s="11"/>
    </row>
    <row r="34" spans="13:14" x14ac:dyDescent="0.25">
      <c r="M34" s="11"/>
      <c r="N34" s="11"/>
    </row>
    <row r="35" spans="13:14" x14ac:dyDescent="0.25">
      <c r="M35" s="11"/>
      <c r="N35" s="11"/>
    </row>
    <row r="36" spans="13:14" x14ac:dyDescent="0.25">
      <c r="M36" s="11"/>
      <c r="N36" s="11"/>
    </row>
  </sheetData>
  <sheetProtection algorithmName="SHA-512" hashValue="WWu7+brhZQzFXyM1yN1LmEUxa0YkmH1f9g33hMxlZ2Y+d3nQDnfIcI9LJtuH7ILzAx4OxBKYz4ojQhWoYnTryA==" saltValue="pVMH8zOubo6q98/bMklojw==" spinCount="100000" sheet="1" objects="1" scenarios="1"/>
  <mergeCells count="17">
    <mergeCell ref="F30:G30"/>
    <mergeCell ref="F32:G32"/>
    <mergeCell ref="J30:K30"/>
    <mergeCell ref="J31:K31"/>
    <mergeCell ref="A28:K28"/>
    <mergeCell ref="C2:G2"/>
    <mergeCell ref="O7:R7"/>
    <mergeCell ref="B8:C8"/>
    <mergeCell ref="E8:F8"/>
    <mergeCell ref="AE7:AF7"/>
    <mergeCell ref="B7:M7"/>
    <mergeCell ref="T7:AC7"/>
    <mergeCell ref="T8:U8"/>
    <mergeCell ref="W8:X8"/>
    <mergeCell ref="H8:J8"/>
    <mergeCell ref="L8:M8"/>
    <mergeCell ref="Z8:A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32"/>
  <sheetViews>
    <sheetView workbookViewId="0">
      <selection activeCell="F27" sqref="F27"/>
    </sheetView>
  </sheetViews>
  <sheetFormatPr defaultRowHeight="15" x14ac:dyDescent="0.25"/>
  <cols>
    <col min="1" max="1" width="5.28515625" style="30" customWidth="1"/>
    <col min="2" max="2" width="29.140625" customWidth="1"/>
    <col min="3" max="3" width="16.28515625" style="30" customWidth="1"/>
    <col min="4" max="4" width="22.140625" style="30" customWidth="1"/>
    <col min="5" max="5" width="17.42578125" customWidth="1"/>
    <col min="6" max="6" width="16.140625" customWidth="1"/>
    <col min="7" max="7" width="13.28515625" customWidth="1"/>
    <col min="8" max="8" width="14.85546875" customWidth="1"/>
    <col min="9" max="9" width="16.5703125" customWidth="1"/>
    <col min="10" max="10" width="16.85546875" customWidth="1"/>
    <col min="11" max="11" width="11.7109375" customWidth="1"/>
    <col min="12" max="12" width="13.7109375" customWidth="1"/>
  </cols>
  <sheetData>
    <row r="1" spans="1:13" s="100" customFormat="1" x14ac:dyDescent="0.25">
      <c r="A1" s="123" t="s">
        <v>210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47.25" x14ac:dyDescent="0.25">
      <c r="B2" s="76" t="s">
        <v>126</v>
      </c>
      <c r="C2" s="85" t="s">
        <v>222</v>
      </c>
      <c r="D2" s="85" t="s">
        <v>221</v>
      </c>
      <c r="E2" s="77" t="s">
        <v>131</v>
      </c>
      <c r="F2" s="86" t="s">
        <v>214</v>
      </c>
    </row>
    <row r="3" spans="1:13" x14ac:dyDescent="0.25">
      <c r="B3" s="25" t="s">
        <v>42</v>
      </c>
      <c r="C3" s="68">
        <v>1142260.2248696249</v>
      </c>
      <c r="D3" s="2">
        <f>C3*5/10^6*0.4</f>
        <v>2.2845204497392499</v>
      </c>
      <c r="E3" s="1">
        <f>D3*1000000000*Biomass_availability!B$38/1000000000</f>
        <v>43.291662522558788</v>
      </c>
      <c r="F3" s="1">
        <f>E3/7.3</f>
        <v>5.9303647291176427</v>
      </c>
    </row>
    <row r="4" spans="1:13" x14ac:dyDescent="0.25">
      <c r="B4" s="25" t="s">
        <v>44</v>
      </c>
      <c r="C4" s="68">
        <v>582901.97382553539</v>
      </c>
      <c r="D4" s="2">
        <f t="shared" ref="D4:D30" si="0">C4*5/10^6*0.4</f>
        <v>1.1658039476510706</v>
      </c>
      <c r="E4" s="1">
        <f>D4*1000000000*Biomass_availability!B$38/1000000000</f>
        <v>22.091984807987782</v>
      </c>
      <c r="F4" s="1">
        <f t="shared" ref="F4:F30" si="1">E4/7.3</f>
        <v>3.0262992887654496</v>
      </c>
    </row>
    <row r="5" spans="1:13" x14ac:dyDescent="0.25">
      <c r="B5" s="25" t="s">
        <v>47</v>
      </c>
      <c r="C5" s="68">
        <v>117757.97451020917</v>
      </c>
      <c r="D5" s="2">
        <f t="shared" si="0"/>
        <v>0.23551594902041836</v>
      </c>
      <c r="E5" s="1">
        <f>D5*1000000000*Biomass_availability!B$38/1000000000</f>
        <v>4.463027233936927</v>
      </c>
      <c r="F5" s="1">
        <f t="shared" si="1"/>
        <v>0.61137359368999</v>
      </c>
    </row>
    <row r="6" spans="1:13" x14ac:dyDescent="0.25">
      <c r="B6" s="25" t="s">
        <v>50</v>
      </c>
      <c r="C6" s="68">
        <v>237004.99860809994</v>
      </c>
      <c r="D6" s="2">
        <f t="shared" si="0"/>
        <v>0.47400999721619991</v>
      </c>
      <c r="E6" s="1">
        <f>D6*1000000000*Biomass_availability!B$38/1000000000</f>
        <v>8.9824894472469872</v>
      </c>
      <c r="F6" s="1">
        <f t="shared" si="1"/>
        <v>1.2304780064721901</v>
      </c>
    </row>
    <row r="7" spans="1:13" x14ac:dyDescent="0.25">
      <c r="B7" s="25" t="s">
        <v>51</v>
      </c>
      <c r="C7" s="68">
        <v>0</v>
      </c>
      <c r="D7" s="2">
        <f t="shared" si="0"/>
        <v>0</v>
      </c>
      <c r="E7" s="1">
        <f>D7*1000000000*Biomass_availability!B$38/1000000000</f>
        <v>0</v>
      </c>
      <c r="F7" s="1">
        <f t="shared" si="1"/>
        <v>0</v>
      </c>
    </row>
    <row r="8" spans="1:13" x14ac:dyDescent="0.25">
      <c r="B8" s="25" t="s">
        <v>96</v>
      </c>
      <c r="C8" s="68">
        <v>2128475.3892720304</v>
      </c>
      <c r="D8" s="2">
        <f t="shared" si="0"/>
        <v>4.256950778544061</v>
      </c>
      <c r="E8" s="1">
        <f>D8*1000000000*Biomass_availability!B$38/1000000000</f>
        <v>80.66921725340994</v>
      </c>
      <c r="F8" s="1">
        <f t="shared" si="1"/>
        <v>11.050577705946568</v>
      </c>
    </row>
    <row r="9" spans="1:13" x14ac:dyDescent="0.25">
      <c r="B9" s="25" t="s">
        <v>53</v>
      </c>
      <c r="C9" s="68">
        <v>130587.70583309646</v>
      </c>
      <c r="D9" s="2">
        <f t="shared" si="0"/>
        <v>0.26117541166619296</v>
      </c>
      <c r="E9" s="1">
        <f>D9*1000000000*Biomass_availability!B$38/1000000000</f>
        <v>4.9492740510743554</v>
      </c>
      <c r="F9" s="1">
        <f t="shared" si="1"/>
        <v>0.67798274672251446</v>
      </c>
    </row>
    <row r="10" spans="1:13" x14ac:dyDescent="0.25">
      <c r="B10" s="25" t="s">
        <v>54</v>
      </c>
      <c r="C10" s="68">
        <v>122173.89855434201</v>
      </c>
      <c r="D10" s="2">
        <f t="shared" si="0"/>
        <v>0.24434779710868401</v>
      </c>
      <c r="E10" s="1">
        <f>D10*1000000000*Biomass_availability!B$38/1000000000</f>
        <v>4.63039075520956</v>
      </c>
      <c r="F10" s="1">
        <f t="shared" si="1"/>
        <v>0.63430010345336441</v>
      </c>
    </row>
    <row r="11" spans="1:13" x14ac:dyDescent="0.25">
      <c r="B11" s="25" t="s">
        <v>55</v>
      </c>
      <c r="C11" s="68">
        <v>7871826.2010712065</v>
      </c>
      <c r="D11" s="2">
        <f t="shared" si="0"/>
        <v>15.743652402142411</v>
      </c>
      <c r="E11" s="1">
        <f>D11*1000000000*Biomass_availability!B$38/1000000000</f>
        <v>298.34221302059865</v>
      </c>
      <c r="F11" s="1">
        <f t="shared" si="1"/>
        <v>40.868796304191598</v>
      </c>
    </row>
    <row r="12" spans="1:13" x14ac:dyDescent="0.25">
      <c r="B12" s="25" t="s">
        <v>56</v>
      </c>
      <c r="C12" s="68">
        <v>3684307.1022552243</v>
      </c>
      <c r="D12" s="2">
        <f t="shared" si="0"/>
        <v>7.3686142045104495</v>
      </c>
      <c r="E12" s="1">
        <f>D12*1000000000*Biomass_availability!B$38/1000000000</f>
        <v>139.635239175473</v>
      </c>
      <c r="F12" s="1">
        <f t="shared" si="1"/>
        <v>19.128114955544248</v>
      </c>
    </row>
    <row r="13" spans="1:13" x14ac:dyDescent="0.25">
      <c r="B13" s="25" t="s">
        <v>57</v>
      </c>
      <c r="C13" s="68">
        <v>3809476.9756454597</v>
      </c>
      <c r="D13" s="2">
        <f t="shared" si="0"/>
        <v>7.6189539512909192</v>
      </c>
      <c r="E13" s="1">
        <f>D13*1000000000*Biomass_availability!B$38/1000000000</f>
        <v>144.3791773769629</v>
      </c>
      <c r="F13" s="1">
        <f t="shared" si="1"/>
        <v>19.777969503693548</v>
      </c>
    </row>
    <row r="14" spans="1:13" x14ac:dyDescent="0.25">
      <c r="B14" s="25" t="s">
        <v>59</v>
      </c>
      <c r="C14" s="68">
        <v>0</v>
      </c>
      <c r="D14" s="2">
        <f t="shared" si="0"/>
        <v>0</v>
      </c>
      <c r="E14" s="1">
        <f>D14*1000000000*Biomass_availability!B$38/1000000000</f>
        <v>0</v>
      </c>
      <c r="F14" s="1">
        <f t="shared" si="1"/>
        <v>0</v>
      </c>
    </row>
    <row r="15" spans="1:13" x14ac:dyDescent="0.25">
      <c r="B15" s="25" t="s">
        <v>60</v>
      </c>
      <c r="C15" s="68">
        <v>225800.91612332608</v>
      </c>
      <c r="D15" s="2">
        <f t="shared" si="0"/>
        <v>0.45160183224665218</v>
      </c>
      <c r="E15" s="1">
        <f>D15*1000000000*Biomass_availability!B$38/1000000000</f>
        <v>8.5578547210740563</v>
      </c>
      <c r="F15" s="1">
        <f t="shared" si="1"/>
        <v>1.1723088659005556</v>
      </c>
    </row>
    <row r="16" spans="1:13" x14ac:dyDescent="0.25">
      <c r="B16" s="25" t="s">
        <v>61</v>
      </c>
      <c r="C16" s="68">
        <v>0</v>
      </c>
      <c r="D16" s="2">
        <f t="shared" si="0"/>
        <v>0</v>
      </c>
      <c r="E16" s="1">
        <f>D16*1000000000*Biomass_availability!B$38/1000000000</f>
        <v>0</v>
      </c>
      <c r="F16" s="1">
        <f t="shared" si="1"/>
        <v>0</v>
      </c>
    </row>
    <row r="17" spans="2:6" x14ac:dyDescent="0.25">
      <c r="B17" s="25" t="s">
        <v>62</v>
      </c>
      <c r="C17" s="68">
        <v>713784.40431723604</v>
      </c>
      <c r="D17" s="2">
        <f t="shared" si="0"/>
        <v>1.4275688086344722</v>
      </c>
      <c r="E17" s="1">
        <f>D17*1000000000*Biomass_availability!B$38/1000000000</f>
        <v>27.052428923623243</v>
      </c>
      <c r="F17" s="1">
        <f t="shared" si="1"/>
        <v>3.7058121813182523</v>
      </c>
    </row>
    <row r="18" spans="2:6" x14ac:dyDescent="0.25">
      <c r="B18" s="25" t="s">
        <v>63</v>
      </c>
      <c r="C18" s="68">
        <v>0</v>
      </c>
      <c r="D18" s="2">
        <f t="shared" si="0"/>
        <v>0</v>
      </c>
      <c r="E18" s="1">
        <f>D18*1000000000*Biomass_availability!B$38/1000000000</f>
        <v>0</v>
      </c>
      <c r="F18" s="1">
        <f t="shared" si="1"/>
        <v>0</v>
      </c>
    </row>
    <row r="19" spans="2:6" x14ac:dyDescent="0.25">
      <c r="B19" s="25" t="s">
        <v>64</v>
      </c>
      <c r="C19" s="68">
        <v>0</v>
      </c>
      <c r="D19" s="2">
        <f t="shared" si="0"/>
        <v>0</v>
      </c>
      <c r="E19" s="1">
        <f>D19*1000000000*Biomass_availability!B$38/1000000000</f>
        <v>0</v>
      </c>
      <c r="F19" s="1">
        <f t="shared" si="1"/>
        <v>0</v>
      </c>
    </row>
    <row r="20" spans="2:6" x14ac:dyDescent="0.25">
      <c r="B20" s="25" t="s">
        <v>65</v>
      </c>
      <c r="C20" s="68">
        <v>0</v>
      </c>
      <c r="D20" s="2">
        <f t="shared" si="0"/>
        <v>0</v>
      </c>
      <c r="E20" s="1">
        <f>D20*1000000000*Biomass_availability!B$38/1000000000</f>
        <v>0</v>
      </c>
      <c r="F20" s="1">
        <f t="shared" si="1"/>
        <v>0</v>
      </c>
    </row>
    <row r="21" spans="2:6" x14ac:dyDescent="0.25">
      <c r="B21" s="25" t="s">
        <v>66</v>
      </c>
      <c r="C21" s="68">
        <v>0</v>
      </c>
      <c r="D21" s="2">
        <f t="shared" si="0"/>
        <v>0</v>
      </c>
      <c r="E21" s="1">
        <f>D21*1000000000*Biomass_availability!B$38/1000000000</f>
        <v>0</v>
      </c>
      <c r="F21" s="1">
        <f t="shared" si="1"/>
        <v>0</v>
      </c>
    </row>
    <row r="22" spans="2:6" x14ac:dyDescent="0.25">
      <c r="B22" s="25" t="s">
        <v>67</v>
      </c>
      <c r="C22" s="68">
        <v>0</v>
      </c>
      <c r="D22" s="2">
        <f t="shared" si="0"/>
        <v>0</v>
      </c>
      <c r="E22" s="1">
        <f>D22*1000000000*Biomass_availability!B$38/1000000000</f>
        <v>0</v>
      </c>
      <c r="F22" s="1">
        <f t="shared" si="1"/>
        <v>0</v>
      </c>
    </row>
    <row r="23" spans="2:6" x14ac:dyDescent="0.25">
      <c r="B23" s="25" t="s">
        <v>68</v>
      </c>
      <c r="C23" s="68">
        <v>1632125.5267114991</v>
      </c>
      <c r="D23" s="2">
        <f t="shared" si="0"/>
        <v>3.2642510534229987</v>
      </c>
      <c r="E23" s="1">
        <f>D23*1000000000*Biomass_availability!B$38/1000000000</f>
        <v>61.857557462365811</v>
      </c>
      <c r="F23" s="1">
        <f t="shared" si="1"/>
        <v>8.4736380085432614</v>
      </c>
    </row>
    <row r="24" spans="2:6" x14ac:dyDescent="0.25">
      <c r="B24" s="25" t="s">
        <v>69</v>
      </c>
      <c r="C24" s="68">
        <v>849152.75419311831</v>
      </c>
      <c r="D24" s="2">
        <f t="shared" si="0"/>
        <v>1.6983055083862366</v>
      </c>
      <c r="E24" s="1">
        <f>D24*1000000000*Biomass_availability!B$38/1000000000</f>
        <v>32.182889383919175</v>
      </c>
      <c r="F24" s="1">
        <f t="shared" si="1"/>
        <v>4.4086149840985174</v>
      </c>
    </row>
    <row r="25" spans="2:6" x14ac:dyDescent="0.25">
      <c r="B25" s="25" t="s">
        <v>70</v>
      </c>
      <c r="C25" s="68">
        <v>144253.51877500623</v>
      </c>
      <c r="D25" s="2">
        <f t="shared" si="0"/>
        <v>0.2885070375500125</v>
      </c>
      <c r="E25" s="1">
        <f>D25*1000000000*Biomass_availability!B$38/1000000000</f>
        <v>5.4672083615727356</v>
      </c>
      <c r="F25" s="1">
        <f t="shared" si="1"/>
        <v>0.74893265227023775</v>
      </c>
    </row>
    <row r="26" spans="2:6" x14ac:dyDescent="0.25">
      <c r="B26" s="25" t="s">
        <v>71</v>
      </c>
      <c r="C26" s="68">
        <v>225506.52118705056</v>
      </c>
      <c r="D26" s="2">
        <f t="shared" si="0"/>
        <v>0.45101304237410117</v>
      </c>
      <c r="E26" s="1">
        <f>D26*1000000000*Biomass_availability!B$38/1000000000</f>
        <v>8.5466971529892142</v>
      </c>
      <c r="F26" s="1">
        <f t="shared" si="1"/>
        <v>1.1707804319163306</v>
      </c>
    </row>
    <row r="27" spans="2:6" x14ac:dyDescent="0.25">
      <c r="B27" s="25" t="s">
        <v>72</v>
      </c>
      <c r="C27" s="68">
        <v>200482.95160363111</v>
      </c>
      <c r="D27" s="2">
        <f t="shared" si="0"/>
        <v>0.40096590320726222</v>
      </c>
      <c r="E27" s="1">
        <f>D27*1000000000*Biomass_availability!B$38/1000000000</f>
        <v>7.5983038657776172</v>
      </c>
      <c r="F27" s="1">
        <f t="shared" si="1"/>
        <v>1.0408635432572078</v>
      </c>
    </row>
    <row r="28" spans="2:6" x14ac:dyDescent="0.25">
      <c r="B28" s="25" t="s">
        <v>73</v>
      </c>
      <c r="C28" s="68">
        <v>3284874.3902123887</v>
      </c>
      <c r="D28" s="2">
        <f t="shared" si="0"/>
        <v>6.5697487804247778</v>
      </c>
      <c r="E28" s="1">
        <f>D28*1000000000*Biomass_availability!B$38/1000000000</f>
        <v>124.49673938904951</v>
      </c>
      <c r="F28" s="1">
        <f t="shared" si="1"/>
        <v>17.05434786151363</v>
      </c>
    </row>
    <row r="29" spans="2:6" x14ac:dyDescent="0.25">
      <c r="B29" s="25" t="s">
        <v>74</v>
      </c>
      <c r="C29" s="68">
        <v>9097392.3207862098</v>
      </c>
      <c r="D29" s="2">
        <f t="shared" si="0"/>
        <v>18.194784641572422</v>
      </c>
      <c r="E29" s="1">
        <f>D29*1000000000*Biomass_availability!B$38/1000000000</f>
        <v>344.79116895779731</v>
      </c>
      <c r="F29" s="1">
        <f t="shared" si="1"/>
        <v>47.231666980520181</v>
      </c>
    </row>
    <row r="30" spans="2:6" x14ac:dyDescent="0.25">
      <c r="B30" s="25" t="s">
        <v>97</v>
      </c>
      <c r="C30" s="68">
        <v>1031854.2516457079</v>
      </c>
      <c r="D30" s="2">
        <f t="shared" si="0"/>
        <v>2.0637085032914158</v>
      </c>
      <c r="E30" s="1">
        <f>D30*1000000000*Biomass_availability!B$38/1000000000</f>
        <v>39.107276137372324</v>
      </c>
      <c r="F30" s="1">
        <f t="shared" si="1"/>
        <v>5.3571611147085374</v>
      </c>
    </row>
    <row r="31" spans="2:6" s="30" customFormat="1" x14ac:dyDescent="0.25">
      <c r="B31" s="30" t="s">
        <v>121</v>
      </c>
      <c r="C31" s="68">
        <f>SUM(C3:C30)</f>
        <v>37232000</v>
      </c>
      <c r="D31" s="67">
        <f>SUM(D3:D30)</f>
        <v>74.463999999999999</v>
      </c>
      <c r="E31" s="113">
        <f>SUM(E3:E30)</f>
        <v>1411.0927999999997</v>
      </c>
      <c r="F31" s="113">
        <f>SUM(F3:F30)</f>
        <v>193.3003835616438</v>
      </c>
    </row>
    <row r="32" spans="2:6" ht="17.25" x14ac:dyDescent="0.25">
      <c r="F32" s="30" t="s">
        <v>215</v>
      </c>
    </row>
  </sheetData>
  <sheetProtection algorithmName="SHA-512" hashValue="OOU1a9VOl3XpNrybXBca1Sn9u0mdlIPecPiVyT5JXg0gqQJ8KUFkA69TOkS+rTL6+BaMkijTW3VEAEEMbLR0yA==" saltValue="ngy8xdrPunY+AoqFu/x2t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4"/>
  <sheetViews>
    <sheetView workbookViewId="0">
      <selection activeCell="F27" sqref="F27"/>
    </sheetView>
  </sheetViews>
  <sheetFormatPr defaultRowHeight="15" x14ac:dyDescent="0.25"/>
  <cols>
    <col min="1" max="1" width="5.140625" style="30" customWidth="1"/>
    <col min="2" max="2" width="21" customWidth="1"/>
    <col min="3" max="3" width="13.28515625" customWidth="1"/>
    <col min="4" max="4" width="12.7109375" customWidth="1"/>
    <col min="5" max="5" width="15.5703125" customWidth="1"/>
    <col min="6" max="6" width="15" customWidth="1"/>
  </cols>
  <sheetData>
    <row r="1" spans="1:10" s="100" customFormat="1" x14ac:dyDescent="0.25">
      <c r="A1" s="123" t="s">
        <v>211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42.75" customHeight="1" x14ac:dyDescent="0.25">
      <c r="B2" s="76" t="s">
        <v>126</v>
      </c>
      <c r="C2" s="77" t="s">
        <v>219</v>
      </c>
      <c r="D2" s="77" t="s">
        <v>218</v>
      </c>
      <c r="E2" s="77" t="s">
        <v>128</v>
      </c>
      <c r="F2" s="77" t="s">
        <v>220</v>
      </c>
    </row>
    <row r="3" spans="1:10" x14ac:dyDescent="0.25">
      <c r="B3" s="25" t="s">
        <v>42</v>
      </c>
      <c r="C3" s="31">
        <v>496.21</v>
      </c>
      <c r="D3" s="68">
        <f>C3*6000</f>
        <v>2977260</v>
      </c>
      <c r="E3" s="1">
        <f>D3/0.4*3.6*10^(-6)</f>
        <v>26.795339999999999</v>
      </c>
      <c r="F3" s="1">
        <f>E3/7.3</f>
        <v>3.6705945205479451</v>
      </c>
    </row>
    <row r="4" spans="1:10" x14ac:dyDescent="0.25">
      <c r="B4" s="25" t="s">
        <v>44</v>
      </c>
      <c r="C4" s="31">
        <v>1484.7</v>
      </c>
      <c r="D4" s="68">
        <f t="shared" ref="D4:D30" si="0">C4*6000</f>
        <v>8908200</v>
      </c>
      <c r="E4" s="1">
        <f t="shared" ref="E4:E30" si="1">D4/0.4*3.6*10^(-6)</f>
        <v>80.1738</v>
      </c>
      <c r="F4" s="1">
        <f t="shared" ref="F4:F31" si="2">E4/7.3</f>
        <v>10.982712328767123</v>
      </c>
    </row>
    <row r="5" spans="1:10" x14ac:dyDescent="0.25">
      <c r="B5" s="25" t="s">
        <v>47</v>
      </c>
      <c r="C5" s="31">
        <v>34.6</v>
      </c>
      <c r="D5" s="68">
        <f t="shared" si="0"/>
        <v>207600</v>
      </c>
      <c r="E5" s="1">
        <f t="shared" si="1"/>
        <v>1.8683999999999998</v>
      </c>
      <c r="F5" s="1">
        <f t="shared" si="2"/>
        <v>0.25594520547945204</v>
      </c>
    </row>
    <row r="6" spans="1:10" x14ac:dyDescent="0.25">
      <c r="B6" s="25" t="s">
        <v>50</v>
      </c>
      <c r="C6" s="31">
        <v>39</v>
      </c>
      <c r="D6" s="68">
        <f t="shared" si="0"/>
        <v>234000</v>
      </c>
      <c r="E6" s="1">
        <f t="shared" si="1"/>
        <v>2.1059999999999999</v>
      </c>
      <c r="F6" s="1">
        <f t="shared" si="2"/>
        <v>0.28849315068493148</v>
      </c>
    </row>
    <row r="7" spans="1:10" s="30" customFormat="1" x14ac:dyDescent="0.25">
      <c r="B7" s="25" t="s">
        <v>51</v>
      </c>
      <c r="C7" s="31">
        <v>0</v>
      </c>
      <c r="D7" s="68">
        <f t="shared" si="0"/>
        <v>0</v>
      </c>
      <c r="E7" s="1">
        <f t="shared" si="1"/>
        <v>0</v>
      </c>
      <c r="F7" s="1">
        <f t="shared" si="2"/>
        <v>0</v>
      </c>
    </row>
    <row r="8" spans="1:10" x14ac:dyDescent="0.25">
      <c r="B8" s="25" t="s">
        <v>96</v>
      </c>
      <c r="C8" s="31">
        <v>77.37</v>
      </c>
      <c r="D8" s="68">
        <f t="shared" si="0"/>
        <v>464220</v>
      </c>
      <c r="E8" s="1">
        <f t="shared" si="1"/>
        <v>4.1779799999999998</v>
      </c>
      <c r="F8" s="1">
        <f t="shared" si="2"/>
        <v>0.57232602739726024</v>
      </c>
    </row>
    <row r="9" spans="1:10" x14ac:dyDescent="0.25">
      <c r="B9" s="25" t="s">
        <v>53</v>
      </c>
      <c r="C9" s="31">
        <v>1235.55</v>
      </c>
      <c r="D9" s="68">
        <f t="shared" si="0"/>
        <v>7413300</v>
      </c>
      <c r="E9" s="1">
        <f t="shared" si="1"/>
        <v>66.719700000000003</v>
      </c>
      <c r="F9" s="1">
        <f t="shared" si="2"/>
        <v>9.1396849315068494</v>
      </c>
    </row>
    <row r="10" spans="1:10" x14ac:dyDescent="0.25">
      <c r="B10" s="25" t="s">
        <v>54</v>
      </c>
      <c r="C10" s="31">
        <v>121.3</v>
      </c>
      <c r="D10" s="68">
        <f t="shared" si="0"/>
        <v>727800</v>
      </c>
      <c r="E10" s="1">
        <f t="shared" si="1"/>
        <v>6.5501999999999994</v>
      </c>
      <c r="F10" s="1">
        <f t="shared" si="2"/>
        <v>0.89728767123287667</v>
      </c>
    </row>
    <row r="11" spans="1:10" x14ac:dyDescent="0.25">
      <c r="B11" s="25" t="s">
        <v>55</v>
      </c>
      <c r="C11" s="31">
        <v>2238.567</v>
      </c>
      <c r="D11" s="68">
        <f t="shared" si="0"/>
        <v>13431402</v>
      </c>
      <c r="E11" s="1">
        <f t="shared" si="1"/>
        <v>120.88261799999999</v>
      </c>
      <c r="F11" s="1">
        <f t="shared" si="2"/>
        <v>16.559262739726027</v>
      </c>
    </row>
    <row r="12" spans="1:10" x14ac:dyDescent="0.25">
      <c r="B12" s="25" t="s">
        <v>56</v>
      </c>
      <c r="C12" s="31">
        <v>829.303</v>
      </c>
      <c r="D12" s="68">
        <f t="shared" si="0"/>
        <v>4975818</v>
      </c>
      <c r="E12" s="1">
        <f t="shared" si="1"/>
        <v>44.782361999999999</v>
      </c>
      <c r="F12" s="1">
        <f t="shared" si="2"/>
        <v>6.1345701369863015</v>
      </c>
    </row>
    <row r="13" spans="1:10" x14ac:dyDescent="0.25">
      <c r="B13" s="25" t="s">
        <v>57</v>
      </c>
      <c r="C13" s="31">
        <v>1327.8910000000001</v>
      </c>
      <c r="D13" s="68">
        <f t="shared" si="0"/>
        <v>7967346</v>
      </c>
      <c r="E13" s="1">
        <f t="shared" si="1"/>
        <v>71.706113999999999</v>
      </c>
      <c r="F13" s="1">
        <f t="shared" si="2"/>
        <v>9.8227553424657543</v>
      </c>
    </row>
    <row r="14" spans="1:10" s="30" customFormat="1" x14ac:dyDescent="0.25">
      <c r="B14" s="25" t="s">
        <v>59</v>
      </c>
      <c r="C14" s="31">
        <v>0</v>
      </c>
      <c r="D14" s="68">
        <f t="shared" si="0"/>
        <v>0</v>
      </c>
      <c r="E14" s="1">
        <f t="shared" si="1"/>
        <v>0</v>
      </c>
      <c r="F14" s="1">
        <f t="shared" si="2"/>
        <v>0</v>
      </c>
    </row>
    <row r="15" spans="1:10" x14ac:dyDescent="0.25">
      <c r="B15" s="25" t="s">
        <v>60</v>
      </c>
      <c r="C15" s="31">
        <v>235.5</v>
      </c>
      <c r="D15" s="68">
        <f t="shared" si="0"/>
        <v>1413000</v>
      </c>
      <c r="E15" s="1">
        <f t="shared" si="1"/>
        <v>12.716999999999999</v>
      </c>
      <c r="F15" s="1">
        <f t="shared" si="2"/>
        <v>1.7420547945205478</v>
      </c>
    </row>
    <row r="16" spans="1:10" x14ac:dyDescent="0.25">
      <c r="B16" s="25" t="s">
        <v>61</v>
      </c>
      <c r="C16" s="31">
        <v>44.3</v>
      </c>
      <c r="D16" s="68">
        <f t="shared" si="0"/>
        <v>265800</v>
      </c>
      <c r="E16" s="1">
        <f t="shared" si="1"/>
        <v>2.3921999999999999</v>
      </c>
      <c r="F16" s="1">
        <f t="shared" si="2"/>
        <v>0.3276986301369863</v>
      </c>
    </row>
    <row r="17" spans="2:6" x14ac:dyDescent="0.25">
      <c r="B17" s="25" t="s">
        <v>62</v>
      </c>
      <c r="C17" s="31">
        <v>384.75299999999999</v>
      </c>
      <c r="D17" s="68">
        <f t="shared" si="0"/>
        <v>2308518</v>
      </c>
      <c r="E17" s="1">
        <f t="shared" si="1"/>
        <v>20.776661999999998</v>
      </c>
      <c r="F17" s="1">
        <f t="shared" si="2"/>
        <v>2.8461180821917806</v>
      </c>
    </row>
    <row r="18" spans="2:6" x14ac:dyDescent="0.25">
      <c r="B18" s="25" t="s">
        <v>63</v>
      </c>
      <c r="C18" s="31">
        <v>54.859000000000002</v>
      </c>
      <c r="D18" s="68">
        <f t="shared" si="0"/>
        <v>329154</v>
      </c>
      <c r="E18" s="1">
        <f t="shared" si="1"/>
        <v>2.962386</v>
      </c>
      <c r="F18" s="1">
        <f t="shared" si="2"/>
        <v>0.40580630136986301</v>
      </c>
    </row>
    <row r="19" spans="2:6" x14ac:dyDescent="0.25">
      <c r="B19" s="25" t="s">
        <v>64</v>
      </c>
      <c r="C19" s="31">
        <v>102.7</v>
      </c>
      <c r="D19" s="68">
        <f t="shared" si="0"/>
        <v>616200</v>
      </c>
      <c r="E19" s="1">
        <f t="shared" si="1"/>
        <v>5.5457999999999998</v>
      </c>
      <c r="F19" s="1">
        <f t="shared" si="2"/>
        <v>0.75969863013698635</v>
      </c>
    </row>
    <row r="20" spans="2:6" x14ac:dyDescent="0.25">
      <c r="B20" s="25" t="s">
        <v>65</v>
      </c>
      <c r="C20" s="31">
        <v>2.7</v>
      </c>
      <c r="D20" s="68">
        <f t="shared" si="0"/>
        <v>16200.000000000002</v>
      </c>
      <c r="E20" s="1">
        <f t="shared" si="1"/>
        <v>0.14579999999999999</v>
      </c>
      <c r="F20" s="1">
        <f t="shared" si="2"/>
        <v>1.9972602739726026E-2</v>
      </c>
    </row>
    <row r="21" spans="2:6" s="30" customFormat="1" x14ac:dyDescent="0.25">
      <c r="B21" s="25" t="s">
        <v>66</v>
      </c>
      <c r="C21" s="31">
        <v>0</v>
      </c>
      <c r="D21" s="68">
        <f t="shared" si="0"/>
        <v>0</v>
      </c>
      <c r="E21" s="1">
        <f t="shared" si="1"/>
        <v>0</v>
      </c>
      <c r="F21" s="1">
        <f t="shared" si="2"/>
        <v>0</v>
      </c>
    </row>
    <row r="22" spans="2:6" x14ac:dyDescent="0.25">
      <c r="B22" s="25" t="s">
        <v>67</v>
      </c>
      <c r="C22" s="31">
        <v>162.19999999999999</v>
      </c>
      <c r="D22" s="68">
        <f t="shared" si="0"/>
        <v>973199.99999999988</v>
      </c>
      <c r="E22" s="1">
        <f t="shared" si="1"/>
        <v>8.7587999999999973</v>
      </c>
      <c r="F22" s="1">
        <f t="shared" si="2"/>
        <v>1.1998356164383559</v>
      </c>
    </row>
    <row r="23" spans="2:6" x14ac:dyDescent="0.25">
      <c r="B23" s="25" t="s">
        <v>68</v>
      </c>
      <c r="C23" s="31">
        <v>437.3</v>
      </c>
      <c r="D23" s="68">
        <f t="shared" si="0"/>
        <v>2623800</v>
      </c>
      <c r="E23" s="1">
        <f t="shared" si="1"/>
        <v>23.6142</v>
      </c>
      <c r="F23" s="1">
        <f t="shared" si="2"/>
        <v>3.2348219178082194</v>
      </c>
    </row>
    <row r="24" spans="2:6" x14ac:dyDescent="0.25">
      <c r="B24" s="25" t="s">
        <v>69</v>
      </c>
      <c r="C24" s="31">
        <v>166.185</v>
      </c>
      <c r="D24" s="68">
        <f t="shared" si="0"/>
        <v>997110</v>
      </c>
      <c r="E24" s="1">
        <f t="shared" si="1"/>
        <v>8.9739899999999988</v>
      </c>
      <c r="F24" s="1">
        <f t="shared" si="2"/>
        <v>1.229313698630137</v>
      </c>
    </row>
    <row r="25" spans="2:6" x14ac:dyDescent="0.25">
      <c r="B25" s="25" t="s">
        <v>70</v>
      </c>
      <c r="C25" s="31">
        <v>43.32</v>
      </c>
      <c r="D25" s="68">
        <f t="shared" si="0"/>
        <v>259920</v>
      </c>
      <c r="E25" s="1">
        <f t="shared" si="1"/>
        <v>2.33928</v>
      </c>
      <c r="F25" s="1">
        <f t="shared" si="2"/>
        <v>0.32044931506849317</v>
      </c>
    </row>
    <row r="26" spans="2:6" x14ac:dyDescent="0.25">
      <c r="B26" s="25" t="s">
        <v>71</v>
      </c>
      <c r="C26" s="31">
        <v>6.46</v>
      </c>
      <c r="D26" s="68">
        <f t="shared" si="0"/>
        <v>38760</v>
      </c>
      <c r="E26" s="1">
        <f t="shared" si="1"/>
        <v>0.34883999999999998</v>
      </c>
      <c r="F26" s="1">
        <f t="shared" si="2"/>
        <v>4.7786301369863012E-2</v>
      </c>
    </row>
    <row r="27" spans="2:6" x14ac:dyDescent="0.25">
      <c r="B27" s="25" t="s">
        <v>72</v>
      </c>
      <c r="C27" s="31">
        <v>6.75</v>
      </c>
      <c r="D27" s="68">
        <f t="shared" si="0"/>
        <v>40500</v>
      </c>
      <c r="E27" s="1">
        <f t="shared" si="1"/>
        <v>0.36449999999999999</v>
      </c>
      <c r="F27" s="1">
        <f t="shared" si="2"/>
        <v>4.993150684931507E-2</v>
      </c>
    </row>
    <row r="28" spans="2:6" x14ac:dyDescent="0.25">
      <c r="B28" s="25" t="s">
        <v>73</v>
      </c>
      <c r="C28" s="31">
        <v>453.14</v>
      </c>
      <c r="D28" s="68">
        <f t="shared" si="0"/>
        <v>2718840</v>
      </c>
      <c r="E28" s="1">
        <f t="shared" si="1"/>
        <v>24.469559999999998</v>
      </c>
      <c r="F28" s="1">
        <f t="shared" si="2"/>
        <v>3.3519945205479451</v>
      </c>
    </row>
    <row r="29" spans="2:6" x14ac:dyDescent="0.25">
      <c r="B29" s="25" t="s">
        <v>74</v>
      </c>
      <c r="C29" s="31">
        <v>2957.73</v>
      </c>
      <c r="D29" s="68">
        <f t="shared" si="0"/>
        <v>17746380</v>
      </c>
      <c r="E29" s="1">
        <f t="shared" si="1"/>
        <v>159.71742</v>
      </c>
      <c r="F29" s="1">
        <f t="shared" si="2"/>
        <v>21.879098630136987</v>
      </c>
    </row>
    <row r="30" spans="2:6" x14ac:dyDescent="0.25">
      <c r="B30" s="25" t="s">
        <v>97</v>
      </c>
      <c r="C30" s="31">
        <v>6082.3249999999998</v>
      </c>
      <c r="D30" s="68">
        <f t="shared" si="0"/>
        <v>36493950</v>
      </c>
      <c r="E30" s="1">
        <f t="shared" si="1"/>
        <v>328.44554999999997</v>
      </c>
      <c r="F30" s="1">
        <f t="shared" si="2"/>
        <v>44.99254109589041</v>
      </c>
    </row>
    <row r="31" spans="2:6" x14ac:dyDescent="0.25">
      <c r="B31" t="s">
        <v>121</v>
      </c>
      <c r="C31" s="32">
        <f>SUM(C3:C30)</f>
        <v>19024.713</v>
      </c>
      <c r="D31" s="75">
        <f>SUM(D3:D30)</f>
        <v>114148278</v>
      </c>
      <c r="E31" s="114">
        <f>SUM(E3:E30)</f>
        <v>1027.3345019999999</v>
      </c>
      <c r="F31" s="115">
        <f t="shared" si="2"/>
        <v>140.73075369863014</v>
      </c>
    </row>
    <row r="32" spans="2:6" x14ac:dyDescent="0.25">
      <c r="D32" t="s">
        <v>216</v>
      </c>
      <c r="F32" s="30"/>
    </row>
    <row r="33" spans="5:6" x14ac:dyDescent="0.25">
      <c r="E33" t="s">
        <v>127</v>
      </c>
      <c r="F33" s="30"/>
    </row>
    <row r="34" spans="5:6" ht="17.25" x14ac:dyDescent="0.25">
      <c r="F34" t="s">
        <v>217</v>
      </c>
    </row>
  </sheetData>
  <sheetProtection algorithmName="SHA-512" hashValue="VuA+7HuHSUiPgfQipwb/Zr6dNVNC6d2z2AQGgKjbkHi7EXQERfbzlaC+kUUhqaHj70W01nLJwtWt/eY5cbZcng==" saltValue="QxmvbABc3nTVT65/LQk/B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1"/>
  <sheetViews>
    <sheetView zoomScaleNormal="100" workbookViewId="0">
      <selection activeCell="K15" sqref="K15"/>
    </sheetView>
  </sheetViews>
  <sheetFormatPr defaultRowHeight="15" x14ac:dyDescent="0.25"/>
  <cols>
    <col min="1" max="1" width="14.140625" customWidth="1"/>
    <col min="3" max="3" width="18.28515625" customWidth="1"/>
    <col min="7" max="7" width="5.28515625" customWidth="1"/>
    <col min="8" max="8" width="15.42578125" customWidth="1"/>
    <col min="10" max="10" width="16.7109375" customWidth="1"/>
    <col min="11" max="11" width="15" customWidth="1"/>
    <col min="12" max="12" width="18.5703125" customWidth="1"/>
    <col min="13" max="13" width="19.28515625" customWidth="1"/>
  </cols>
  <sheetData>
    <row r="1" spans="1:22" ht="45" customHeight="1" x14ac:dyDescent="0.25">
      <c r="A1" s="121" t="s">
        <v>207</v>
      </c>
      <c r="B1" s="122" t="s">
        <v>206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30"/>
    </row>
    <row r="2" spans="1:22" s="100" customFormat="1" ht="61.5" customHeight="1" x14ac:dyDescent="0.25">
      <c r="A2" s="121" t="s">
        <v>208</v>
      </c>
      <c r="B2" s="122" t="s">
        <v>209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pans="1:22" s="3" customFormat="1" ht="15" customHeight="1" x14ac:dyDescent="0.25">
      <c r="A3" s="127"/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30" customFormat="1" ht="32.25" customHeight="1" x14ac:dyDescent="0.25">
      <c r="J4" s="27"/>
      <c r="K4" s="26" t="s">
        <v>223</v>
      </c>
      <c r="L4" s="26" t="s">
        <v>226</v>
      </c>
      <c r="M4" s="26" t="s">
        <v>229</v>
      </c>
    </row>
    <row r="5" spans="1:22" ht="35.25" customHeight="1" x14ac:dyDescent="0.25">
      <c r="A5" s="29" t="s">
        <v>75</v>
      </c>
      <c r="B5" s="29" t="s">
        <v>76</v>
      </c>
      <c r="C5" s="29" t="s">
        <v>34</v>
      </c>
      <c r="D5" s="29" t="s">
        <v>35</v>
      </c>
      <c r="E5" s="29" t="s">
        <v>36</v>
      </c>
      <c r="F5" s="29" t="s">
        <v>37</v>
      </c>
      <c r="G5" s="29" t="s">
        <v>38</v>
      </c>
      <c r="H5" s="29" t="s">
        <v>39</v>
      </c>
      <c r="I5" s="29"/>
      <c r="J5" s="24"/>
      <c r="K5" s="131" t="s">
        <v>78</v>
      </c>
      <c r="L5" s="132" t="s">
        <v>227</v>
      </c>
      <c r="M5" s="28" t="s">
        <v>228</v>
      </c>
    </row>
    <row r="6" spans="1:22" ht="17.25" x14ac:dyDescent="0.25">
      <c r="A6" s="29" t="s">
        <v>42</v>
      </c>
      <c r="B6" s="29" t="s">
        <v>77</v>
      </c>
      <c r="C6" s="29" t="s">
        <v>40</v>
      </c>
      <c r="D6" s="29">
        <v>2016</v>
      </c>
      <c r="E6" s="29" t="s">
        <v>224</v>
      </c>
      <c r="F6" s="29">
        <v>9062000</v>
      </c>
      <c r="G6" s="29"/>
      <c r="H6" s="29" t="s">
        <v>41</v>
      </c>
      <c r="I6" s="29"/>
      <c r="J6" s="25" t="s">
        <v>42</v>
      </c>
      <c r="K6" s="117">
        <f t="shared" ref="K6:K33" ca="1" si="0">SUMIF(A$6:F$61,J6,F$6:F$61)</f>
        <v>9215000</v>
      </c>
      <c r="L6" s="1">
        <f ca="1">K6*2/1000000</f>
        <v>18.43</v>
      </c>
      <c r="M6" s="116">
        <f ca="1">L6*7.3</f>
        <v>134.53899999999999</v>
      </c>
    </row>
    <row r="7" spans="1:22" ht="17.25" x14ac:dyDescent="0.25">
      <c r="A7" s="29" t="s">
        <v>42</v>
      </c>
      <c r="B7" s="29" t="s">
        <v>77</v>
      </c>
      <c r="C7" s="29" t="s">
        <v>43</v>
      </c>
      <c r="D7" s="29">
        <v>2016</v>
      </c>
      <c r="E7" s="100" t="s">
        <v>224</v>
      </c>
      <c r="F7" s="29">
        <v>153000</v>
      </c>
      <c r="G7" s="29"/>
      <c r="H7" s="29" t="s">
        <v>41</v>
      </c>
      <c r="I7" s="29"/>
      <c r="J7" s="25" t="s">
        <v>44</v>
      </c>
      <c r="K7" s="117">
        <f t="shared" ca="1" si="0"/>
        <v>1650000</v>
      </c>
      <c r="L7" s="1">
        <f t="shared" ref="L7:L33" ca="1" si="1">K7*2/1000000</f>
        <v>3.3</v>
      </c>
      <c r="M7" s="116">
        <f t="shared" ref="M7:M33" ca="1" si="2">L7*7.3</f>
        <v>24.09</v>
      </c>
    </row>
    <row r="8" spans="1:22" ht="17.25" x14ac:dyDescent="0.25">
      <c r="A8" s="29" t="s">
        <v>44</v>
      </c>
      <c r="B8" s="29" t="s">
        <v>77</v>
      </c>
      <c r="C8" s="29" t="s">
        <v>40</v>
      </c>
      <c r="D8" s="29">
        <v>2016</v>
      </c>
      <c r="E8" s="100" t="s">
        <v>225</v>
      </c>
      <c r="F8" s="29">
        <v>1350000</v>
      </c>
      <c r="G8" s="29" t="s">
        <v>45</v>
      </c>
      <c r="H8" s="29" t="s">
        <v>46</v>
      </c>
      <c r="I8" s="29"/>
      <c r="J8" s="25" t="s">
        <v>47</v>
      </c>
      <c r="K8" s="117">
        <f t="shared" ca="1" si="0"/>
        <v>938301</v>
      </c>
      <c r="L8" s="1">
        <f t="shared" ca="1" si="1"/>
        <v>1.8766020000000001</v>
      </c>
      <c r="M8" s="116">
        <f t="shared" ca="1" si="2"/>
        <v>13.6991946</v>
      </c>
    </row>
    <row r="9" spans="1:22" ht="17.25" x14ac:dyDescent="0.25">
      <c r="A9" s="29" t="s">
        <v>44</v>
      </c>
      <c r="B9" s="29" t="s">
        <v>77</v>
      </c>
      <c r="C9" s="29" t="s">
        <v>43</v>
      </c>
      <c r="D9" s="29">
        <v>2016</v>
      </c>
      <c r="E9" s="100" t="s">
        <v>225</v>
      </c>
      <c r="F9" s="29">
        <v>300000</v>
      </c>
      <c r="G9" s="29" t="s">
        <v>48</v>
      </c>
      <c r="H9" s="29" t="s">
        <v>49</v>
      </c>
      <c r="I9" s="29"/>
      <c r="J9" s="25" t="s">
        <v>50</v>
      </c>
      <c r="K9" s="117">
        <f t="shared" ca="1" si="0"/>
        <v>1592258</v>
      </c>
      <c r="L9" s="1">
        <f t="shared" ca="1" si="1"/>
        <v>3.1845159999999999</v>
      </c>
      <c r="M9" s="116">
        <f t="shared" ca="1" si="2"/>
        <v>23.246966799999999</v>
      </c>
    </row>
    <row r="10" spans="1:22" ht="17.25" x14ac:dyDescent="0.25">
      <c r="A10" s="29" t="s">
        <v>47</v>
      </c>
      <c r="B10" s="29" t="s">
        <v>77</v>
      </c>
      <c r="C10" s="29" t="s">
        <v>40</v>
      </c>
      <c r="D10" s="29">
        <v>2016</v>
      </c>
      <c r="E10" s="100" t="s">
        <v>225</v>
      </c>
      <c r="F10" s="29">
        <v>775142</v>
      </c>
      <c r="G10" s="29" t="s">
        <v>48</v>
      </c>
      <c r="H10" s="29" t="s">
        <v>49</v>
      </c>
      <c r="I10" s="29"/>
      <c r="J10" s="25" t="s">
        <v>51</v>
      </c>
      <c r="K10" s="117">
        <f t="shared" ca="1" si="0"/>
        <v>1718</v>
      </c>
      <c r="L10" s="1">
        <f t="shared" ca="1" si="1"/>
        <v>3.4359999999999998E-3</v>
      </c>
      <c r="M10" s="116">
        <f t="shared" ca="1" si="2"/>
        <v>2.5082799999999999E-2</v>
      </c>
    </row>
    <row r="11" spans="1:22" ht="17.25" x14ac:dyDescent="0.25">
      <c r="A11" s="29" t="s">
        <v>47</v>
      </c>
      <c r="B11" s="29" t="s">
        <v>77</v>
      </c>
      <c r="C11" s="29" t="s">
        <v>43</v>
      </c>
      <c r="D11" s="29">
        <v>2016</v>
      </c>
      <c r="E11" s="100" t="s">
        <v>225</v>
      </c>
      <c r="F11" s="29">
        <v>163159</v>
      </c>
      <c r="G11" s="29" t="s">
        <v>48</v>
      </c>
      <c r="H11" s="29" t="s">
        <v>49</v>
      </c>
      <c r="I11" s="29"/>
      <c r="J11" s="25" t="s">
        <v>52</v>
      </c>
      <c r="K11" s="117">
        <f t="shared" ca="1" si="0"/>
        <v>4213000</v>
      </c>
      <c r="L11" s="1">
        <f t="shared" ca="1" si="1"/>
        <v>8.4260000000000002</v>
      </c>
      <c r="M11" s="116">
        <f t="shared" ca="1" si="2"/>
        <v>61.509799999999998</v>
      </c>
    </row>
    <row r="12" spans="1:22" ht="17.25" x14ac:dyDescent="0.25">
      <c r="A12" s="29" t="s">
        <v>50</v>
      </c>
      <c r="B12" s="29" t="s">
        <v>77</v>
      </c>
      <c r="C12" s="29" t="s">
        <v>40</v>
      </c>
      <c r="D12" s="29">
        <v>2016</v>
      </c>
      <c r="E12" s="100" t="s">
        <v>225</v>
      </c>
      <c r="F12" s="29">
        <v>290661</v>
      </c>
      <c r="G12" s="29"/>
      <c r="H12" s="29" t="s">
        <v>41</v>
      </c>
      <c r="I12" s="29"/>
      <c r="J12" s="25" t="s">
        <v>53</v>
      </c>
      <c r="K12" s="117">
        <f t="shared" ca="1" si="0"/>
        <v>386887</v>
      </c>
      <c r="L12" s="1">
        <f t="shared" ca="1" si="1"/>
        <v>0.77377399999999996</v>
      </c>
      <c r="M12" s="116">
        <f t="shared" ca="1" si="2"/>
        <v>5.6485501999999999</v>
      </c>
    </row>
    <row r="13" spans="1:22" ht="17.25" x14ac:dyDescent="0.25">
      <c r="A13" s="29" t="s">
        <v>50</v>
      </c>
      <c r="B13" s="29" t="s">
        <v>77</v>
      </c>
      <c r="C13" s="29" t="s">
        <v>43</v>
      </c>
      <c r="D13" s="29">
        <v>2016</v>
      </c>
      <c r="E13" s="100" t="s">
        <v>225</v>
      </c>
      <c r="F13" s="29">
        <v>1301597</v>
      </c>
      <c r="G13" s="29"/>
      <c r="H13" s="29" t="s">
        <v>41</v>
      </c>
      <c r="I13" s="29"/>
      <c r="J13" s="25" t="s">
        <v>54</v>
      </c>
      <c r="K13" s="117">
        <f t="shared" ca="1" si="0"/>
        <v>2000000</v>
      </c>
      <c r="L13" s="1">
        <f t="shared" ca="1" si="1"/>
        <v>4</v>
      </c>
      <c r="M13" s="116">
        <f t="shared" ca="1" si="2"/>
        <v>29.2</v>
      </c>
    </row>
    <row r="14" spans="1:22" ht="17.25" x14ac:dyDescent="0.25">
      <c r="A14" s="29" t="s">
        <v>51</v>
      </c>
      <c r="B14" s="29" t="s">
        <v>77</v>
      </c>
      <c r="C14" s="29" t="s">
        <v>40</v>
      </c>
      <c r="D14" s="29">
        <v>2016</v>
      </c>
      <c r="E14" s="100" t="s">
        <v>225</v>
      </c>
      <c r="F14" s="29">
        <v>1585</v>
      </c>
      <c r="G14" s="29"/>
      <c r="H14" s="29" t="s">
        <v>41</v>
      </c>
      <c r="I14" s="29"/>
      <c r="J14" s="25" t="s">
        <v>55</v>
      </c>
      <c r="K14" s="117">
        <f t="shared" ca="1" si="0"/>
        <v>11410000</v>
      </c>
      <c r="L14" s="1">
        <f t="shared" ca="1" si="1"/>
        <v>22.82</v>
      </c>
      <c r="M14" s="116">
        <f t="shared" ca="1" si="2"/>
        <v>166.58599999999998</v>
      </c>
    </row>
    <row r="15" spans="1:22" ht="17.25" x14ac:dyDescent="0.25">
      <c r="A15" s="29" t="s">
        <v>51</v>
      </c>
      <c r="B15" s="29" t="s">
        <v>77</v>
      </c>
      <c r="C15" s="29" t="s">
        <v>43</v>
      </c>
      <c r="D15" s="29">
        <v>2016</v>
      </c>
      <c r="E15" s="100" t="s">
        <v>225</v>
      </c>
      <c r="F15" s="29">
        <v>133</v>
      </c>
      <c r="G15" s="29"/>
      <c r="H15" s="29" t="s">
        <v>41</v>
      </c>
      <c r="I15" s="29"/>
      <c r="J15" s="25" t="s">
        <v>56</v>
      </c>
      <c r="K15" s="117">
        <f t="shared" ca="1" si="0"/>
        <v>7580160</v>
      </c>
      <c r="L15" s="1">
        <f t="shared" ca="1" si="1"/>
        <v>15.16032</v>
      </c>
      <c r="M15" s="116">
        <f t="shared" ca="1" si="2"/>
        <v>110.67033600000001</v>
      </c>
    </row>
    <row r="16" spans="1:22" ht="17.25" x14ac:dyDescent="0.25">
      <c r="A16" s="29" t="s">
        <v>52</v>
      </c>
      <c r="B16" s="29" t="s">
        <v>77</v>
      </c>
      <c r="C16" s="29" t="s">
        <v>40</v>
      </c>
      <c r="D16" s="29">
        <v>2016</v>
      </c>
      <c r="E16" s="100" t="s">
        <v>225</v>
      </c>
      <c r="F16" s="29">
        <v>3980000</v>
      </c>
      <c r="G16" s="29" t="s">
        <v>45</v>
      </c>
      <c r="H16" s="29" t="s">
        <v>46</v>
      </c>
      <c r="I16" s="29"/>
      <c r="J16" s="25" t="s">
        <v>57</v>
      </c>
      <c r="K16" s="117">
        <f t="shared" ca="1" si="0"/>
        <v>22177033</v>
      </c>
      <c r="L16" s="1">
        <f t="shared" ca="1" si="1"/>
        <v>44.354066000000003</v>
      </c>
      <c r="M16" s="116">
        <f t="shared" ca="1" si="2"/>
        <v>323.78468179999999</v>
      </c>
    </row>
    <row r="17" spans="1:13" ht="17.25" x14ac:dyDescent="0.25">
      <c r="A17" s="29" t="s">
        <v>52</v>
      </c>
      <c r="B17" s="29" t="s">
        <v>77</v>
      </c>
      <c r="C17" s="29" t="s">
        <v>43</v>
      </c>
      <c r="D17" s="29">
        <v>2016</v>
      </c>
      <c r="E17" s="100" t="s">
        <v>225</v>
      </c>
      <c r="F17" s="29">
        <v>233000</v>
      </c>
      <c r="G17" s="29" t="s">
        <v>45</v>
      </c>
      <c r="H17" s="29" t="s">
        <v>46</v>
      </c>
      <c r="I17" s="29"/>
      <c r="J17" s="25" t="s">
        <v>58</v>
      </c>
      <c r="K17" s="117">
        <f t="shared" ca="1" si="0"/>
        <v>3602832</v>
      </c>
      <c r="L17" s="1">
        <f t="shared" ca="1" si="1"/>
        <v>7.2056639999999996</v>
      </c>
      <c r="M17" s="116">
        <f t="shared" ca="1" si="2"/>
        <v>52.601347199999999</v>
      </c>
    </row>
    <row r="18" spans="1:13" ht="17.25" x14ac:dyDescent="0.25">
      <c r="A18" s="29" t="s">
        <v>53</v>
      </c>
      <c r="B18" s="29" t="s">
        <v>77</v>
      </c>
      <c r="C18" s="29" t="s">
        <v>40</v>
      </c>
      <c r="D18" s="29">
        <v>2016</v>
      </c>
      <c r="E18" s="100" t="s">
        <v>225</v>
      </c>
      <c r="F18" s="29">
        <v>320000</v>
      </c>
      <c r="G18" s="29" t="s">
        <v>45</v>
      </c>
      <c r="H18" s="29" t="s">
        <v>46</v>
      </c>
      <c r="I18" s="29"/>
      <c r="J18" s="25" t="s">
        <v>59</v>
      </c>
      <c r="K18" s="117">
        <f t="shared" ca="1" si="0"/>
        <v>108000</v>
      </c>
      <c r="L18" s="1">
        <f t="shared" ca="1" si="1"/>
        <v>0.216</v>
      </c>
      <c r="M18" s="116">
        <f t="shared" ca="1" si="2"/>
        <v>1.5768</v>
      </c>
    </row>
    <row r="19" spans="1:13" ht="17.25" x14ac:dyDescent="0.25">
      <c r="A19" s="29" t="s">
        <v>53</v>
      </c>
      <c r="B19" s="29" t="s">
        <v>77</v>
      </c>
      <c r="C19" s="29" t="s">
        <v>43</v>
      </c>
      <c r="D19" s="29">
        <v>2016</v>
      </c>
      <c r="E19" s="100" t="s">
        <v>225</v>
      </c>
      <c r="F19" s="29">
        <v>66887</v>
      </c>
      <c r="G19" s="29"/>
      <c r="H19" s="29" t="s">
        <v>41</v>
      </c>
      <c r="I19" s="29"/>
      <c r="J19" s="25" t="s">
        <v>60</v>
      </c>
      <c r="K19" s="117">
        <f t="shared" ca="1" si="0"/>
        <v>517723</v>
      </c>
      <c r="L19" s="1">
        <f t="shared" ca="1" si="1"/>
        <v>1.0354460000000001</v>
      </c>
      <c r="M19" s="116">
        <f t="shared" ca="1" si="2"/>
        <v>7.5587558000000001</v>
      </c>
    </row>
    <row r="20" spans="1:13" ht="17.25" x14ac:dyDescent="0.25">
      <c r="A20" s="29" t="s">
        <v>54</v>
      </c>
      <c r="B20" s="29" t="s">
        <v>77</v>
      </c>
      <c r="C20" s="29" t="s">
        <v>40</v>
      </c>
      <c r="D20" s="29">
        <v>2016</v>
      </c>
      <c r="E20" s="100" t="s">
        <v>225</v>
      </c>
      <c r="F20" s="29">
        <v>1800000</v>
      </c>
      <c r="G20" s="29"/>
      <c r="H20" s="29" t="s">
        <v>41</v>
      </c>
      <c r="I20" s="29"/>
      <c r="J20" s="25" t="s">
        <v>61</v>
      </c>
      <c r="K20" s="117">
        <f t="shared" ca="1" si="0"/>
        <v>986888</v>
      </c>
      <c r="L20" s="1">
        <f t="shared" ca="1" si="1"/>
        <v>1.973776</v>
      </c>
      <c r="M20" s="116">
        <f t="shared" ca="1" si="2"/>
        <v>14.408564799999999</v>
      </c>
    </row>
    <row r="21" spans="1:13" ht="17.25" x14ac:dyDescent="0.25">
      <c r="A21" s="29" t="s">
        <v>54</v>
      </c>
      <c r="B21" s="29" t="s">
        <v>77</v>
      </c>
      <c r="C21" s="29" t="s">
        <v>43</v>
      </c>
      <c r="D21" s="29">
        <v>2016</v>
      </c>
      <c r="E21" s="100" t="s">
        <v>225</v>
      </c>
      <c r="F21" s="29">
        <v>200000</v>
      </c>
      <c r="G21" s="29"/>
      <c r="H21" s="29" t="s">
        <v>41</v>
      </c>
      <c r="I21" s="29"/>
      <c r="J21" s="25" t="s">
        <v>62</v>
      </c>
      <c r="K21" s="117">
        <f t="shared" ca="1" si="0"/>
        <v>1500000</v>
      </c>
      <c r="L21" s="1">
        <f t="shared" ca="1" si="1"/>
        <v>3</v>
      </c>
      <c r="M21" s="116">
        <f t="shared" ca="1" si="2"/>
        <v>21.9</v>
      </c>
    </row>
    <row r="22" spans="1:13" ht="17.25" x14ac:dyDescent="0.25">
      <c r="A22" s="29" t="s">
        <v>55</v>
      </c>
      <c r="B22" s="29" t="s">
        <v>77</v>
      </c>
      <c r="C22" s="29" t="s">
        <v>40</v>
      </c>
      <c r="D22" s="29">
        <v>2016</v>
      </c>
      <c r="E22" s="100" t="s">
        <v>225</v>
      </c>
      <c r="F22" s="29">
        <v>11370000</v>
      </c>
      <c r="G22" s="29"/>
      <c r="H22" s="29" t="s">
        <v>41</v>
      </c>
      <c r="I22" s="29"/>
      <c r="J22" s="25" t="s">
        <v>63</v>
      </c>
      <c r="K22" s="117">
        <f t="shared" ca="1" si="0"/>
        <v>3902518</v>
      </c>
      <c r="L22" s="1">
        <f t="shared" ca="1" si="1"/>
        <v>7.8050360000000003</v>
      </c>
      <c r="M22" s="116">
        <f t="shared" ca="1" si="2"/>
        <v>56.976762800000003</v>
      </c>
    </row>
    <row r="23" spans="1:13" ht="17.25" x14ac:dyDescent="0.25">
      <c r="A23" s="29" t="s">
        <v>55</v>
      </c>
      <c r="B23" s="29" t="s">
        <v>77</v>
      </c>
      <c r="C23" s="29" t="s">
        <v>43</v>
      </c>
      <c r="D23" s="29">
        <v>2016</v>
      </c>
      <c r="E23" s="100" t="s">
        <v>225</v>
      </c>
      <c r="F23" s="29">
        <v>40000</v>
      </c>
      <c r="G23" s="29" t="s">
        <v>48</v>
      </c>
      <c r="H23" s="29" t="s">
        <v>49</v>
      </c>
      <c r="I23" s="29"/>
      <c r="J23" s="25" t="s">
        <v>64</v>
      </c>
      <c r="K23" s="117">
        <f t="shared" ca="1" si="0"/>
        <v>1406000</v>
      </c>
      <c r="L23" s="1">
        <f t="shared" ca="1" si="1"/>
        <v>2.8119999999999998</v>
      </c>
      <c r="M23" s="116">
        <f t="shared" ca="1" si="2"/>
        <v>20.5276</v>
      </c>
    </row>
    <row r="24" spans="1:13" ht="17.25" x14ac:dyDescent="0.25">
      <c r="A24" s="29" t="s">
        <v>56</v>
      </c>
      <c r="B24" s="29" t="s">
        <v>77</v>
      </c>
      <c r="C24" s="29" t="s">
        <v>40</v>
      </c>
      <c r="D24" s="29">
        <v>2016</v>
      </c>
      <c r="E24" s="100" t="s">
        <v>225</v>
      </c>
      <c r="F24" s="29">
        <v>6255729</v>
      </c>
      <c r="G24" s="29"/>
      <c r="H24" s="29" t="s">
        <v>41</v>
      </c>
      <c r="I24" s="29"/>
      <c r="J24" s="25" t="s">
        <v>65</v>
      </c>
      <c r="K24" s="117">
        <f t="shared" ca="1" si="0"/>
        <v>78330</v>
      </c>
      <c r="L24" s="1">
        <f t="shared" ca="1" si="1"/>
        <v>0.15665999999999999</v>
      </c>
      <c r="M24" s="116">
        <f t="shared" ca="1" si="2"/>
        <v>1.143618</v>
      </c>
    </row>
    <row r="25" spans="1:13" ht="17.25" x14ac:dyDescent="0.25">
      <c r="A25" s="29" t="s">
        <v>56</v>
      </c>
      <c r="B25" s="29" t="s">
        <v>77</v>
      </c>
      <c r="C25" s="29" t="s">
        <v>43</v>
      </c>
      <c r="D25" s="29">
        <v>2016</v>
      </c>
      <c r="E25" s="100" t="s">
        <v>225</v>
      </c>
      <c r="F25" s="29">
        <v>1324431</v>
      </c>
      <c r="G25" s="29"/>
      <c r="H25" s="29" t="s">
        <v>41</v>
      </c>
      <c r="I25" s="29"/>
      <c r="J25" s="25" t="s">
        <v>66</v>
      </c>
      <c r="K25" s="117">
        <f t="shared" ca="1" si="0"/>
        <v>0</v>
      </c>
      <c r="L25" s="1">
        <f t="shared" ca="1" si="1"/>
        <v>0</v>
      </c>
      <c r="M25" s="116">
        <f t="shared" ca="1" si="2"/>
        <v>0</v>
      </c>
    </row>
    <row r="26" spans="1:13" ht="17.25" x14ac:dyDescent="0.25">
      <c r="A26" s="29" t="s">
        <v>57</v>
      </c>
      <c r="B26" s="29" t="s">
        <v>77</v>
      </c>
      <c r="C26" s="29" t="s">
        <v>40</v>
      </c>
      <c r="D26" s="29">
        <v>2016</v>
      </c>
      <c r="E26" s="100" t="s">
        <v>225</v>
      </c>
      <c r="F26" s="29">
        <v>21109033</v>
      </c>
      <c r="G26" s="29"/>
      <c r="H26" s="29" t="s">
        <v>41</v>
      </c>
      <c r="I26" s="29"/>
      <c r="J26" s="25" t="s">
        <v>67</v>
      </c>
      <c r="K26" s="117">
        <f t="shared" ca="1" si="0"/>
        <v>183821</v>
      </c>
      <c r="L26" s="1">
        <f t="shared" ca="1" si="1"/>
        <v>0.36764200000000002</v>
      </c>
      <c r="M26" s="116">
        <f t="shared" ca="1" si="2"/>
        <v>2.6837865999999999</v>
      </c>
    </row>
    <row r="27" spans="1:13" ht="17.25" x14ac:dyDescent="0.25">
      <c r="A27" s="29" t="s">
        <v>57</v>
      </c>
      <c r="B27" s="29" t="s">
        <v>77</v>
      </c>
      <c r="C27" s="29" t="s">
        <v>43</v>
      </c>
      <c r="D27" s="29">
        <v>2016</v>
      </c>
      <c r="E27" s="100" t="s">
        <v>225</v>
      </c>
      <c r="F27" s="29">
        <v>1068000</v>
      </c>
      <c r="G27" s="29"/>
      <c r="H27" s="29" t="s">
        <v>41</v>
      </c>
      <c r="I27" s="29"/>
      <c r="J27" s="25" t="s">
        <v>68</v>
      </c>
      <c r="K27" s="117">
        <f t="shared" ca="1" si="0"/>
        <v>4911000</v>
      </c>
      <c r="L27" s="1">
        <f t="shared" ca="1" si="1"/>
        <v>9.8219999999999992</v>
      </c>
      <c r="M27" s="116">
        <f t="shared" ca="1" si="2"/>
        <v>71.700599999999994</v>
      </c>
    </row>
    <row r="28" spans="1:13" ht="17.25" x14ac:dyDescent="0.25">
      <c r="A28" s="29" t="s">
        <v>59</v>
      </c>
      <c r="B28" s="29" t="s">
        <v>77</v>
      </c>
      <c r="C28" s="29" t="s">
        <v>40</v>
      </c>
      <c r="D28" s="29">
        <v>2016</v>
      </c>
      <c r="E28" s="100" t="s">
        <v>225</v>
      </c>
      <c r="F28" s="29">
        <v>64000</v>
      </c>
      <c r="G28" s="29" t="s">
        <v>48</v>
      </c>
      <c r="H28" s="29" t="s">
        <v>49</v>
      </c>
      <c r="I28" s="29"/>
      <c r="J28" s="25" t="s">
        <v>69</v>
      </c>
      <c r="K28" s="117">
        <f t="shared" ca="1" si="0"/>
        <v>1145000</v>
      </c>
      <c r="L28" s="1">
        <f t="shared" ca="1" si="1"/>
        <v>2.29</v>
      </c>
      <c r="M28" s="116">
        <f t="shared" ca="1" si="2"/>
        <v>16.716999999999999</v>
      </c>
    </row>
    <row r="29" spans="1:13" ht="17.25" x14ac:dyDescent="0.25">
      <c r="A29" s="29" t="s">
        <v>59</v>
      </c>
      <c r="B29" s="29" t="s">
        <v>77</v>
      </c>
      <c r="C29" s="29" t="s">
        <v>43</v>
      </c>
      <c r="D29" s="29">
        <v>2016</v>
      </c>
      <c r="E29" s="100" t="s">
        <v>225</v>
      </c>
      <c r="F29" s="29">
        <v>44000</v>
      </c>
      <c r="G29" s="29" t="s">
        <v>48</v>
      </c>
      <c r="H29" s="29" t="s">
        <v>49</v>
      </c>
      <c r="I29" s="29"/>
      <c r="J29" s="25" t="s">
        <v>70</v>
      </c>
      <c r="K29" s="117">
        <f t="shared" ca="1" si="0"/>
        <v>5600000</v>
      </c>
      <c r="L29" s="1">
        <f t="shared" ca="1" si="1"/>
        <v>11.2</v>
      </c>
      <c r="M29" s="116">
        <f t="shared" ca="1" si="2"/>
        <v>81.759999999999991</v>
      </c>
    </row>
    <row r="30" spans="1:13" ht="17.25" x14ac:dyDescent="0.25">
      <c r="A30" s="29" t="s">
        <v>60</v>
      </c>
      <c r="B30" s="29" t="s">
        <v>77</v>
      </c>
      <c r="C30" s="29" t="s">
        <v>40</v>
      </c>
      <c r="D30" s="29">
        <v>2016</v>
      </c>
      <c r="E30" s="100" t="s">
        <v>225</v>
      </c>
      <c r="F30" s="29">
        <v>141416</v>
      </c>
      <c r="G30" s="29"/>
      <c r="H30" s="29" t="s">
        <v>41</v>
      </c>
      <c r="I30" s="29"/>
      <c r="J30" s="25" t="s">
        <v>71</v>
      </c>
      <c r="K30" s="117">
        <f t="shared" ca="1" si="0"/>
        <v>1580000</v>
      </c>
      <c r="L30" s="1">
        <f t="shared" ca="1" si="1"/>
        <v>3.16</v>
      </c>
      <c r="M30" s="116">
        <f t="shared" ca="1" si="2"/>
        <v>23.068000000000001</v>
      </c>
    </row>
    <row r="31" spans="1:13" ht="17.25" x14ac:dyDescent="0.25">
      <c r="A31" s="29" t="s">
        <v>60</v>
      </c>
      <c r="B31" s="29" t="s">
        <v>77</v>
      </c>
      <c r="C31" s="29" t="s">
        <v>43</v>
      </c>
      <c r="D31" s="29">
        <v>2016</v>
      </c>
      <c r="E31" s="100" t="s">
        <v>225</v>
      </c>
      <c r="F31" s="29">
        <v>376307</v>
      </c>
      <c r="G31" s="29"/>
      <c r="H31" s="29" t="s">
        <v>41</v>
      </c>
      <c r="I31" s="29"/>
      <c r="J31" s="25" t="s">
        <v>72</v>
      </c>
      <c r="K31" s="117">
        <f t="shared" ca="1" si="0"/>
        <v>730000</v>
      </c>
      <c r="L31" s="1">
        <f t="shared" ca="1" si="1"/>
        <v>1.46</v>
      </c>
      <c r="M31" s="116">
        <f t="shared" ca="1" si="2"/>
        <v>10.657999999999999</v>
      </c>
    </row>
    <row r="32" spans="1:13" ht="17.25" x14ac:dyDescent="0.25">
      <c r="A32" s="29" t="s">
        <v>61</v>
      </c>
      <c r="B32" s="29" t="s">
        <v>77</v>
      </c>
      <c r="C32" s="29" t="s">
        <v>40</v>
      </c>
      <c r="D32" s="29">
        <v>2016</v>
      </c>
      <c r="E32" s="100" t="s">
        <v>225</v>
      </c>
      <c r="F32" s="29">
        <v>985000</v>
      </c>
      <c r="G32" s="29"/>
      <c r="H32" s="29" t="s">
        <v>41</v>
      </c>
      <c r="I32" s="29"/>
      <c r="J32" s="25" t="s">
        <v>73</v>
      </c>
      <c r="K32" s="117">
        <f t="shared" ca="1" si="0"/>
        <v>2500000</v>
      </c>
      <c r="L32" s="1">
        <f t="shared" ca="1" si="1"/>
        <v>5</v>
      </c>
      <c r="M32" s="116">
        <f t="shared" ca="1" si="2"/>
        <v>36.5</v>
      </c>
    </row>
    <row r="33" spans="1:13" ht="17.25" x14ac:dyDescent="0.25">
      <c r="A33" s="29" t="s">
        <v>61</v>
      </c>
      <c r="B33" s="29" t="s">
        <v>77</v>
      </c>
      <c r="C33" s="29" t="s">
        <v>43</v>
      </c>
      <c r="D33" s="29">
        <v>2016</v>
      </c>
      <c r="E33" s="100" t="s">
        <v>225</v>
      </c>
      <c r="F33" s="29">
        <v>1888</v>
      </c>
      <c r="G33" s="29"/>
      <c r="H33" s="29" t="s">
        <v>41</v>
      </c>
      <c r="I33" s="29"/>
      <c r="J33" s="25" t="s">
        <v>74</v>
      </c>
      <c r="K33" s="117">
        <f t="shared" ca="1" si="0"/>
        <v>18000000</v>
      </c>
      <c r="L33" s="1">
        <f t="shared" ca="1" si="1"/>
        <v>36</v>
      </c>
      <c r="M33" s="116">
        <f t="shared" ca="1" si="2"/>
        <v>262.8</v>
      </c>
    </row>
    <row r="34" spans="1:13" ht="17.25" x14ac:dyDescent="0.25">
      <c r="A34" s="29" t="s">
        <v>62</v>
      </c>
      <c r="B34" s="29" t="s">
        <v>77</v>
      </c>
      <c r="C34" s="29" t="s">
        <v>40</v>
      </c>
      <c r="D34" s="29">
        <v>2016</v>
      </c>
      <c r="E34" s="100" t="s">
        <v>225</v>
      </c>
      <c r="F34" s="29">
        <v>950000</v>
      </c>
      <c r="G34" s="29" t="s">
        <v>45</v>
      </c>
      <c r="H34" s="29" t="s">
        <v>46</v>
      </c>
      <c r="I34" s="29"/>
      <c r="J34" s="29"/>
      <c r="L34" s="113">
        <f ca="1">SUM(L6:L33)</f>
        <v>215.83293799999998</v>
      </c>
      <c r="M34" s="114">
        <f ca="1">SUM(M6:M33)</f>
        <v>1575.5804473999999</v>
      </c>
    </row>
    <row r="35" spans="1:13" ht="17.25" x14ac:dyDescent="0.25">
      <c r="A35" s="29" t="s">
        <v>62</v>
      </c>
      <c r="B35" s="29" t="s">
        <v>77</v>
      </c>
      <c r="C35" s="29" t="s">
        <v>43</v>
      </c>
      <c r="D35" s="29">
        <v>2016</v>
      </c>
      <c r="E35" s="100" t="s">
        <v>225</v>
      </c>
      <c r="F35" s="29">
        <v>550000</v>
      </c>
      <c r="G35" s="29" t="s">
        <v>45</v>
      </c>
      <c r="H35" s="29" t="s">
        <v>46</v>
      </c>
      <c r="I35" s="29"/>
      <c r="J35" s="29"/>
    </row>
    <row r="36" spans="1:13" ht="17.25" x14ac:dyDescent="0.25">
      <c r="A36" s="29" t="s">
        <v>63</v>
      </c>
      <c r="B36" s="29" t="s">
        <v>77</v>
      </c>
      <c r="C36" s="29" t="s">
        <v>40</v>
      </c>
      <c r="D36" s="29">
        <v>2016</v>
      </c>
      <c r="E36" s="100" t="s">
        <v>225</v>
      </c>
      <c r="F36" s="29">
        <v>3206813</v>
      </c>
      <c r="G36" s="29"/>
      <c r="H36" s="29" t="s">
        <v>41</v>
      </c>
    </row>
    <row r="37" spans="1:13" ht="17.25" x14ac:dyDescent="0.25">
      <c r="A37" s="29" t="s">
        <v>63</v>
      </c>
      <c r="B37" s="29" t="s">
        <v>77</v>
      </c>
      <c r="C37" s="29" t="s">
        <v>43</v>
      </c>
      <c r="D37" s="29">
        <v>2016</v>
      </c>
      <c r="E37" s="100" t="s">
        <v>225</v>
      </c>
      <c r="F37" s="29">
        <v>695705</v>
      </c>
      <c r="G37" s="29"/>
      <c r="H37" s="29" t="s">
        <v>41</v>
      </c>
    </row>
    <row r="38" spans="1:13" ht="17.25" x14ac:dyDescent="0.25">
      <c r="A38" s="29" t="s">
        <v>64</v>
      </c>
      <c r="B38" s="29" t="s">
        <v>77</v>
      </c>
      <c r="C38" s="29" t="s">
        <v>40</v>
      </c>
      <c r="D38" s="29">
        <v>2016</v>
      </c>
      <c r="E38" s="100" t="s">
        <v>225</v>
      </c>
      <c r="F38" s="29">
        <v>929000</v>
      </c>
      <c r="G38" s="29"/>
      <c r="H38" s="29" t="s">
        <v>41</v>
      </c>
    </row>
    <row r="39" spans="1:13" ht="17.25" x14ac:dyDescent="0.25">
      <c r="A39" s="29" t="s">
        <v>64</v>
      </c>
      <c r="B39" s="29" t="s">
        <v>77</v>
      </c>
      <c r="C39" s="29" t="s">
        <v>43</v>
      </c>
      <c r="D39" s="29">
        <v>2016</v>
      </c>
      <c r="E39" s="100" t="s">
        <v>225</v>
      </c>
      <c r="F39" s="29">
        <v>477000</v>
      </c>
      <c r="G39" s="29"/>
      <c r="H39" s="29" t="s">
        <v>41</v>
      </c>
    </row>
    <row r="40" spans="1:13" ht="17.25" x14ac:dyDescent="0.25">
      <c r="A40" s="29" t="s">
        <v>65</v>
      </c>
      <c r="B40" s="29" t="s">
        <v>77</v>
      </c>
      <c r="C40" s="29" t="s">
        <v>40</v>
      </c>
      <c r="D40" s="29">
        <v>2016</v>
      </c>
      <c r="E40" s="100" t="s">
        <v>225</v>
      </c>
      <c r="F40" s="29">
        <v>39230</v>
      </c>
      <c r="G40" s="29" t="s">
        <v>48</v>
      </c>
      <c r="H40" s="29" t="s">
        <v>49</v>
      </c>
    </row>
    <row r="41" spans="1:13" ht="17.25" x14ac:dyDescent="0.25">
      <c r="A41" s="29" t="s">
        <v>65</v>
      </c>
      <c r="B41" s="29" t="s">
        <v>77</v>
      </c>
      <c r="C41" s="29" t="s">
        <v>43</v>
      </c>
      <c r="D41" s="29">
        <v>2016</v>
      </c>
      <c r="E41" s="100" t="s">
        <v>225</v>
      </c>
      <c r="F41" s="29">
        <v>39100</v>
      </c>
      <c r="G41" s="29" t="s">
        <v>48</v>
      </c>
      <c r="H41" s="29" t="s">
        <v>49</v>
      </c>
    </row>
    <row r="42" spans="1:13" ht="17.25" x14ac:dyDescent="0.25">
      <c r="A42" s="29" t="s">
        <v>66</v>
      </c>
      <c r="B42" s="29" t="s">
        <v>77</v>
      </c>
      <c r="C42" s="29" t="s">
        <v>40</v>
      </c>
      <c r="D42" s="29">
        <v>2016</v>
      </c>
      <c r="E42" s="100" t="s">
        <v>225</v>
      </c>
      <c r="F42" s="29">
        <v>0</v>
      </c>
      <c r="G42" s="29" t="s">
        <v>48</v>
      </c>
      <c r="H42" s="29" t="s">
        <v>49</v>
      </c>
    </row>
    <row r="43" spans="1:13" ht="17.25" x14ac:dyDescent="0.25">
      <c r="A43" s="29" t="s">
        <v>66</v>
      </c>
      <c r="B43" s="29" t="s">
        <v>77</v>
      </c>
      <c r="C43" s="29" t="s">
        <v>43</v>
      </c>
      <c r="D43" s="29">
        <v>2016</v>
      </c>
      <c r="E43" s="100" t="s">
        <v>225</v>
      </c>
      <c r="F43" s="29">
        <v>0</v>
      </c>
      <c r="G43" s="29" t="s">
        <v>48</v>
      </c>
      <c r="H43" s="29" t="s">
        <v>49</v>
      </c>
    </row>
    <row r="44" spans="1:13" ht="17.25" x14ac:dyDescent="0.25">
      <c r="A44" s="29" t="s">
        <v>67</v>
      </c>
      <c r="B44" s="29" t="s">
        <v>77</v>
      </c>
      <c r="C44" s="29" t="s">
        <v>40</v>
      </c>
      <c r="D44" s="29">
        <v>2016</v>
      </c>
      <c r="E44" s="100" t="s">
        <v>225</v>
      </c>
      <c r="F44" s="29">
        <v>125586</v>
      </c>
      <c r="G44" s="29"/>
      <c r="H44" s="29" t="s">
        <v>41</v>
      </c>
    </row>
    <row r="45" spans="1:13" ht="17.25" x14ac:dyDescent="0.25">
      <c r="A45" s="29" t="s">
        <v>67</v>
      </c>
      <c r="B45" s="29" t="s">
        <v>77</v>
      </c>
      <c r="C45" s="29" t="s">
        <v>43</v>
      </c>
      <c r="D45" s="29">
        <v>2016</v>
      </c>
      <c r="E45" s="100" t="s">
        <v>225</v>
      </c>
      <c r="F45" s="29">
        <v>58235</v>
      </c>
      <c r="G45" s="29"/>
      <c r="H45" s="29" t="s">
        <v>41</v>
      </c>
    </row>
    <row r="46" spans="1:13" ht="17.25" x14ac:dyDescent="0.25">
      <c r="A46" s="29" t="s">
        <v>68</v>
      </c>
      <c r="B46" s="29" t="s">
        <v>77</v>
      </c>
      <c r="C46" s="29" t="s">
        <v>40</v>
      </c>
      <c r="D46" s="29">
        <v>2016</v>
      </c>
      <c r="E46" s="100" t="s">
        <v>225</v>
      </c>
      <c r="F46" s="29">
        <v>4352000</v>
      </c>
      <c r="G46" s="29"/>
      <c r="H46" s="29" t="s">
        <v>41</v>
      </c>
    </row>
    <row r="47" spans="1:13" ht="17.25" x14ac:dyDescent="0.25">
      <c r="A47" s="29" t="s">
        <v>68</v>
      </c>
      <c r="B47" s="29" t="s">
        <v>77</v>
      </c>
      <c r="C47" s="29" t="s">
        <v>43</v>
      </c>
      <c r="D47" s="29">
        <v>2016</v>
      </c>
      <c r="E47" s="100" t="s">
        <v>225</v>
      </c>
      <c r="F47" s="29">
        <v>559000</v>
      </c>
      <c r="G47" s="29"/>
      <c r="H47" s="29" t="s">
        <v>41</v>
      </c>
    </row>
    <row r="48" spans="1:13" ht="17.25" x14ac:dyDescent="0.25">
      <c r="A48" s="29" t="s">
        <v>69</v>
      </c>
      <c r="B48" s="29" t="s">
        <v>77</v>
      </c>
      <c r="C48" s="29" t="s">
        <v>40</v>
      </c>
      <c r="D48" s="29">
        <v>2016</v>
      </c>
      <c r="E48" s="100" t="s">
        <v>225</v>
      </c>
      <c r="F48" s="29">
        <v>1112000</v>
      </c>
      <c r="G48" s="29" t="s">
        <v>45</v>
      </c>
      <c r="H48" s="29" t="s">
        <v>46</v>
      </c>
    </row>
    <row r="49" spans="1:8" ht="17.25" x14ac:dyDescent="0.25">
      <c r="A49" s="29" t="s">
        <v>69</v>
      </c>
      <c r="B49" s="29" t="s">
        <v>77</v>
      </c>
      <c r="C49" s="29" t="s">
        <v>43</v>
      </c>
      <c r="D49" s="29">
        <v>2016</v>
      </c>
      <c r="E49" s="100" t="s">
        <v>225</v>
      </c>
      <c r="F49" s="29">
        <v>33000</v>
      </c>
      <c r="G49" s="29" t="s">
        <v>45</v>
      </c>
      <c r="H49" s="29" t="s">
        <v>46</v>
      </c>
    </row>
    <row r="50" spans="1:8" ht="17.25" x14ac:dyDescent="0.25">
      <c r="A50" s="29" t="s">
        <v>70</v>
      </c>
      <c r="B50" s="29" t="s">
        <v>77</v>
      </c>
      <c r="C50" s="29" t="s">
        <v>40</v>
      </c>
      <c r="D50" s="29">
        <v>2016</v>
      </c>
      <c r="E50" s="100" t="s">
        <v>225</v>
      </c>
      <c r="F50" s="29">
        <v>4100000</v>
      </c>
      <c r="G50" s="29" t="s">
        <v>45</v>
      </c>
      <c r="H50" s="29" t="s">
        <v>46</v>
      </c>
    </row>
    <row r="51" spans="1:8" ht="17.25" x14ac:dyDescent="0.25">
      <c r="A51" s="29" t="s">
        <v>70</v>
      </c>
      <c r="B51" s="29" t="s">
        <v>77</v>
      </c>
      <c r="C51" s="29" t="s">
        <v>43</v>
      </c>
      <c r="D51" s="29">
        <v>2016</v>
      </c>
      <c r="E51" s="100" t="s">
        <v>225</v>
      </c>
      <c r="F51" s="29">
        <v>1500000</v>
      </c>
      <c r="G51" s="29" t="s">
        <v>45</v>
      </c>
      <c r="H51" s="29" t="s">
        <v>46</v>
      </c>
    </row>
    <row r="52" spans="1:8" ht="17.25" x14ac:dyDescent="0.25">
      <c r="A52" s="29" t="s">
        <v>71</v>
      </c>
      <c r="B52" s="29" t="s">
        <v>77</v>
      </c>
      <c r="C52" s="29" t="s">
        <v>40</v>
      </c>
      <c r="D52" s="29">
        <v>2016</v>
      </c>
      <c r="E52" s="100" t="s">
        <v>225</v>
      </c>
      <c r="F52" s="29">
        <v>1200000</v>
      </c>
      <c r="G52" s="29"/>
      <c r="H52" s="29" t="s">
        <v>41</v>
      </c>
    </row>
    <row r="53" spans="1:8" ht="17.25" x14ac:dyDescent="0.25">
      <c r="A53" s="29" t="s">
        <v>71</v>
      </c>
      <c r="B53" s="29" t="s">
        <v>77</v>
      </c>
      <c r="C53" s="29" t="s">
        <v>43</v>
      </c>
      <c r="D53" s="29">
        <v>2016</v>
      </c>
      <c r="E53" s="100" t="s">
        <v>225</v>
      </c>
      <c r="F53" s="29">
        <v>380000</v>
      </c>
      <c r="G53" s="29"/>
      <c r="H53" s="29" t="s">
        <v>41</v>
      </c>
    </row>
    <row r="54" spans="1:8" ht="17.25" x14ac:dyDescent="0.25">
      <c r="A54" s="29" t="s">
        <v>72</v>
      </c>
      <c r="B54" s="29" t="s">
        <v>77</v>
      </c>
      <c r="C54" s="29" t="s">
        <v>40</v>
      </c>
      <c r="D54" s="29">
        <v>2016</v>
      </c>
      <c r="E54" s="100" t="s">
        <v>225</v>
      </c>
      <c r="F54" s="29">
        <v>625000</v>
      </c>
      <c r="G54" s="29"/>
      <c r="H54" s="29" t="s">
        <v>41</v>
      </c>
    </row>
    <row r="55" spans="1:8" ht="17.25" x14ac:dyDescent="0.25">
      <c r="A55" s="29" t="s">
        <v>72</v>
      </c>
      <c r="B55" s="29" t="s">
        <v>77</v>
      </c>
      <c r="C55" s="29" t="s">
        <v>43</v>
      </c>
      <c r="D55" s="29">
        <v>2016</v>
      </c>
      <c r="E55" s="100" t="s">
        <v>225</v>
      </c>
      <c r="F55" s="29">
        <v>105000</v>
      </c>
      <c r="G55" s="29"/>
      <c r="H55" s="29" t="s">
        <v>41</v>
      </c>
    </row>
    <row r="56" spans="1:8" ht="17.25" x14ac:dyDescent="0.25">
      <c r="A56" s="29" t="s">
        <v>73</v>
      </c>
      <c r="B56" s="29" t="s">
        <v>77</v>
      </c>
      <c r="C56" s="29" t="s">
        <v>40</v>
      </c>
      <c r="D56" s="29">
        <v>2016</v>
      </c>
      <c r="E56" s="100" t="s">
        <v>225</v>
      </c>
      <c r="F56" s="29">
        <v>2100000</v>
      </c>
      <c r="G56" s="29" t="s">
        <v>45</v>
      </c>
      <c r="H56" s="29" t="s">
        <v>46</v>
      </c>
    </row>
    <row r="57" spans="1:8" ht="17.25" x14ac:dyDescent="0.25">
      <c r="A57" s="29" t="s">
        <v>73</v>
      </c>
      <c r="B57" s="29" t="s">
        <v>77</v>
      </c>
      <c r="C57" s="29" t="s">
        <v>43</v>
      </c>
      <c r="D57" s="29">
        <v>2016</v>
      </c>
      <c r="E57" s="100" t="s">
        <v>225</v>
      </c>
      <c r="F57" s="29">
        <v>400000</v>
      </c>
      <c r="G57" s="29" t="s">
        <v>45</v>
      </c>
      <c r="H57" s="29" t="s">
        <v>46</v>
      </c>
    </row>
    <row r="58" spans="1:8" ht="17.25" x14ac:dyDescent="0.25">
      <c r="A58" s="29" t="s">
        <v>74</v>
      </c>
      <c r="B58" s="29" t="s">
        <v>77</v>
      </c>
      <c r="C58" s="29" t="s">
        <v>40</v>
      </c>
      <c r="D58" s="29">
        <v>2016</v>
      </c>
      <c r="E58" s="100" t="s">
        <v>225</v>
      </c>
      <c r="F58" s="29">
        <v>17900000</v>
      </c>
      <c r="G58" s="29" t="s">
        <v>45</v>
      </c>
      <c r="H58" s="29" t="s">
        <v>46</v>
      </c>
    </row>
    <row r="59" spans="1:8" ht="17.25" x14ac:dyDescent="0.25">
      <c r="A59" s="29" t="s">
        <v>74</v>
      </c>
      <c r="B59" s="29" t="s">
        <v>77</v>
      </c>
      <c r="C59" s="29" t="s">
        <v>43</v>
      </c>
      <c r="D59" s="29">
        <v>2016</v>
      </c>
      <c r="E59" s="100" t="s">
        <v>225</v>
      </c>
      <c r="F59" s="29">
        <v>100000</v>
      </c>
      <c r="G59" s="29" t="s">
        <v>45</v>
      </c>
      <c r="H59" s="29" t="s">
        <v>46</v>
      </c>
    </row>
    <row r="60" spans="1:8" ht="17.25" x14ac:dyDescent="0.25">
      <c r="A60" s="29" t="s">
        <v>58</v>
      </c>
      <c r="B60" s="29" t="s">
        <v>77</v>
      </c>
      <c r="C60" s="29" t="s">
        <v>40</v>
      </c>
      <c r="D60" s="29">
        <v>2016</v>
      </c>
      <c r="E60" s="100" t="s">
        <v>225</v>
      </c>
      <c r="F60" s="29">
        <v>3557057</v>
      </c>
      <c r="G60" s="29"/>
      <c r="H60" s="29" t="s">
        <v>41</v>
      </c>
    </row>
    <row r="61" spans="1:8" ht="17.25" x14ac:dyDescent="0.25">
      <c r="A61" s="29" t="s">
        <v>58</v>
      </c>
      <c r="B61" s="29" t="s">
        <v>77</v>
      </c>
      <c r="C61" s="29" t="s">
        <v>43</v>
      </c>
      <c r="D61" s="29">
        <v>2016</v>
      </c>
      <c r="E61" s="100" t="s">
        <v>225</v>
      </c>
      <c r="F61" s="29">
        <v>45775</v>
      </c>
      <c r="G61" s="29"/>
      <c r="H61" s="29" t="s">
        <v>41</v>
      </c>
    </row>
  </sheetData>
  <sheetProtection algorithmName="SHA-512" hashValue="xsfeNuXfpTEomnYf18y1hoAwW+wAL+JIpSoc984pUcrdrV4oC14N1ka5pU/5xxc3XN+suZCqZ0snm3iuabGd+w==" saltValue="8orq8QNz95ujSmiaZO0k+A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I40"/>
  <sheetViews>
    <sheetView zoomScaleNormal="100" workbookViewId="0">
      <pane xSplit="1" ySplit="3" topLeftCell="B4" activePane="bottomRight" state="frozenSplit"/>
      <selection pane="topRight" activeCell="J1" sqref="J1"/>
      <selection pane="bottomLeft" activeCell="A4" sqref="A4"/>
      <selection pane="bottomRight" sqref="A1:XFD1048576"/>
    </sheetView>
  </sheetViews>
  <sheetFormatPr defaultRowHeight="15" x14ac:dyDescent="0.25"/>
  <cols>
    <col min="1" max="1" width="18.140625" customWidth="1"/>
    <col min="2" max="11" width="9" customWidth="1"/>
    <col min="12" max="12" width="4.140625" style="3" customWidth="1"/>
    <col min="13" max="22" width="7.7109375" customWidth="1"/>
    <col min="23" max="23" width="4.140625" style="3" customWidth="1"/>
    <col min="24" max="33" width="7.7109375" style="100" customWidth="1"/>
    <col min="35" max="35" width="11.5703125" customWidth="1"/>
  </cols>
  <sheetData>
    <row r="1" spans="1:35" s="43" customFormat="1" ht="30.75" thickBot="1" x14ac:dyDescent="0.3">
      <c r="A1" s="121" t="s">
        <v>202</v>
      </c>
      <c r="B1" s="211" t="s">
        <v>201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4"/>
      <c r="T1" s="4"/>
      <c r="U1" s="4"/>
      <c r="V1" s="4"/>
      <c r="W1" s="5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s="43" customFormat="1" ht="17.25" x14ac:dyDescent="0.25">
      <c r="A2" s="44"/>
      <c r="B2" s="208" t="s">
        <v>276</v>
      </c>
      <c r="C2" s="208"/>
      <c r="D2" s="208"/>
      <c r="E2" s="208"/>
      <c r="F2" s="208"/>
      <c r="G2" s="208"/>
      <c r="H2" s="208"/>
      <c r="I2" s="208"/>
      <c r="J2" s="208"/>
      <c r="K2" s="208"/>
      <c r="L2" s="33"/>
      <c r="M2" s="210" t="s">
        <v>99</v>
      </c>
      <c r="N2" s="210"/>
      <c r="O2" s="210"/>
      <c r="P2" s="210"/>
      <c r="Q2" s="210"/>
      <c r="R2" s="210"/>
      <c r="S2" s="210"/>
      <c r="T2" s="210"/>
      <c r="U2" s="210"/>
      <c r="V2" s="210"/>
      <c r="W2" s="33"/>
      <c r="X2" s="210" t="s">
        <v>213</v>
      </c>
      <c r="Y2" s="210"/>
      <c r="Z2" s="210"/>
      <c r="AA2" s="210"/>
      <c r="AB2" s="210"/>
      <c r="AC2" s="210"/>
      <c r="AD2" s="210"/>
      <c r="AE2" s="210"/>
      <c r="AF2" s="210"/>
      <c r="AG2" s="210"/>
      <c r="AH2" s="79"/>
    </row>
    <row r="3" spans="1:35" s="43" customFormat="1" ht="178.5" customHeight="1" thickBot="1" x14ac:dyDescent="0.3">
      <c r="A3" s="39"/>
      <c r="B3" s="34" t="s">
        <v>86</v>
      </c>
      <c r="C3" s="34" t="s">
        <v>87</v>
      </c>
      <c r="D3" s="34" t="s">
        <v>88</v>
      </c>
      <c r="E3" s="34" t="s">
        <v>89</v>
      </c>
      <c r="F3" s="34" t="s">
        <v>90</v>
      </c>
      <c r="G3" s="34" t="s">
        <v>91</v>
      </c>
      <c r="H3" s="34" t="s">
        <v>92</v>
      </c>
      <c r="I3" s="34" t="s">
        <v>93</v>
      </c>
      <c r="J3" s="34" t="s">
        <v>94</v>
      </c>
      <c r="K3" s="34" t="s">
        <v>95</v>
      </c>
      <c r="L3" s="35"/>
      <c r="M3" s="34" t="s">
        <v>86</v>
      </c>
      <c r="N3" s="34" t="s">
        <v>87</v>
      </c>
      <c r="O3" s="34" t="s">
        <v>88</v>
      </c>
      <c r="P3" s="34" t="s">
        <v>89</v>
      </c>
      <c r="Q3" s="34" t="s">
        <v>90</v>
      </c>
      <c r="R3" s="34" t="s">
        <v>91</v>
      </c>
      <c r="S3" s="34" t="s">
        <v>92</v>
      </c>
      <c r="T3" s="34" t="s">
        <v>93</v>
      </c>
      <c r="U3" s="34" t="s">
        <v>94</v>
      </c>
      <c r="V3" s="34" t="s">
        <v>95</v>
      </c>
      <c r="W3" s="35"/>
      <c r="X3" s="34" t="s">
        <v>86</v>
      </c>
      <c r="Y3" s="34" t="s">
        <v>87</v>
      </c>
      <c r="Z3" s="34" t="s">
        <v>88</v>
      </c>
      <c r="AA3" s="34" t="s">
        <v>89</v>
      </c>
      <c r="AB3" s="34" t="s">
        <v>90</v>
      </c>
      <c r="AC3" s="34" t="s">
        <v>91</v>
      </c>
      <c r="AD3" s="34" t="s">
        <v>92</v>
      </c>
      <c r="AE3" s="34" t="s">
        <v>93</v>
      </c>
      <c r="AF3" s="34" t="s">
        <v>94</v>
      </c>
      <c r="AG3" s="34" t="s">
        <v>95</v>
      </c>
      <c r="AH3" s="45" t="s">
        <v>129</v>
      </c>
      <c r="AI3" s="45" t="s">
        <v>231</v>
      </c>
    </row>
    <row r="4" spans="1:35" x14ac:dyDescent="0.25">
      <c r="A4" s="40" t="s">
        <v>42</v>
      </c>
      <c r="B4" s="31">
        <v>309.07318684683412</v>
      </c>
      <c r="C4" s="31">
        <v>3269.5031202612772</v>
      </c>
      <c r="D4" s="31">
        <v>844.4234239315939</v>
      </c>
      <c r="E4" s="31">
        <v>7587.1838380844301</v>
      </c>
      <c r="F4" s="31">
        <v>1497.616384669017</v>
      </c>
      <c r="G4" s="31">
        <v>2629.909448092978</v>
      </c>
      <c r="H4" s="31">
        <v>251.47873135670741</v>
      </c>
      <c r="I4" s="31">
        <v>2528.1459691682912</v>
      </c>
      <c r="J4" s="31">
        <v>521.00207218067169</v>
      </c>
      <c r="K4" s="31">
        <v>1096.6893412341396</v>
      </c>
      <c r="L4" s="33"/>
      <c r="M4" s="31">
        <f t="shared" ref="M4:M31" si="0">B4*1000000*B$37/1000000000</f>
        <v>5.7487612753511153</v>
      </c>
      <c r="N4" s="31">
        <f t="shared" ref="N4:N31" si="1">C4*1000000*C$37/1000000000</f>
        <v>60.812758036859762</v>
      </c>
      <c r="O4" s="31">
        <f t="shared" ref="O4:O31" si="2">D4*1000000*D$37/1000000000</f>
        <v>16.044045054700284</v>
      </c>
      <c r="P4" s="31">
        <f t="shared" ref="P4:P31" si="3">E4*1000000*E$37/1000000000</f>
        <v>146.4326480750295</v>
      </c>
      <c r="Q4" s="31">
        <f t="shared" ref="Q4:Q31" si="4">F4*1000000*F$37/1000000000</f>
        <v>28.454711308711317</v>
      </c>
      <c r="R4" s="31">
        <f t="shared" ref="R4:R31" si="5">G4*1000000*G$37/1000000000</f>
        <v>50.494261403385181</v>
      </c>
      <c r="S4" s="31">
        <f t="shared" ref="S4:S31" si="6">H4*1000000*H$37/1000000000</f>
        <v>4.7026522763704293</v>
      </c>
      <c r="T4" s="31">
        <f t="shared" ref="T4:T31" si="7">I4*1000000*I$37/1000000000</f>
        <v>48.540402608031187</v>
      </c>
      <c r="U4" s="31">
        <f t="shared" ref="U4:U31" si="8">J4*1000000*J$37/1000000000</f>
        <v>9.7427387497785602</v>
      </c>
      <c r="V4" s="31">
        <f t="shared" ref="V4:V31" si="9">K4*1000000*K$37/1000000000</f>
        <v>21.05643535169548</v>
      </c>
      <c r="W4" s="33"/>
      <c r="X4" s="31">
        <f>M4*1000000/B$39/1000000</f>
        <v>0.57024573218973085</v>
      </c>
      <c r="Y4" s="31">
        <f t="shared" ref="Y4:AG4" si="10">N4*1000000/C$39/1000000</f>
        <v>7.8783207717139208</v>
      </c>
      <c r="Z4" s="31">
        <f t="shared" si="10"/>
        <v>1.5381118832998069</v>
      </c>
      <c r="AA4" s="31">
        <f t="shared" si="10"/>
        <v>18.064723424010548</v>
      </c>
      <c r="AB4" s="31">
        <f t="shared" si="10"/>
        <v>2.763129861012946</v>
      </c>
      <c r="AC4" s="31">
        <f t="shared" si="10"/>
        <v>6.3371312002240447</v>
      </c>
      <c r="AD4" s="31">
        <f t="shared" si="10"/>
        <v>0.46398289918211716</v>
      </c>
      <c r="AE4" s="31">
        <f t="shared" si="10"/>
        <v>6.0919179979958811</v>
      </c>
      <c r="AF4" s="31">
        <f t="shared" si="10"/>
        <v>0.96125843575769687</v>
      </c>
      <c r="AG4" s="31">
        <f t="shared" si="10"/>
        <v>2.6426249186364812</v>
      </c>
      <c r="AH4" s="46">
        <f t="shared" ref="AH4:AH31" si="11">SUM(M4:V4)</f>
        <v>392.02941413991277</v>
      </c>
      <c r="AI4" s="80">
        <f>SUM(X4:AG4)</f>
        <v>47.311447124023175</v>
      </c>
    </row>
    <row r="5" spans="1:35" x14ac:dyDescent="0.25">
      <c r="A5" s="40" t="s">
        <v>44</v>
      </c>
      <c r="B5" s="31">
        <v>133.22768018735823</v>
      </c>
      <c r="C5" s="31">
        <v>289.11997078927396</v>
      </c>
      <c r="D5" s="31">
        <v>515.32193984096477</v>
      </c>
      <c r="E5" s="31">
        <v>920.84647232139025</v>
      </c>
      <c r="F5" s="31">
        <v>397.56898821686389</v>
      </c>
      <c r="G5" s="31">
        <v>362.47856836381362</v>
      </c>
      <c r="H5" s="31">
        <v>135.07355322571792</v>
      </c>
      <c r="I5" s="31">
        <v>272.6118075493963</v>
      </c>
      <c r="J5" s="31">
        <v>116.44197094639303</v>
      </c>
      <c r="K5" s="31">
        <v>185.64329962966164</v>
      </c>
      <c r="L5" s="33"/>
      <c r="M5" s="31">
        <f t="shared" si="0"/>
        <v>2.4780348514848631</v>
      </c>
      <c r="N5" s="31">
        <f t="shared" si="1"/>
        <v>5.3776314566804961</v>
      </c>
      <c r="O5" s="31">
        <f t="shared" si="2"/>
        <v>9.7911168569783307</v>
      </c>
      <c r="P5" s="31">
        <f t="shared" si="3"/>
        <v>17.772336915802832</v>
      </c>
      <c r="Q5" s="31">
        <f t="shared" si="4"/>
        <v>7.5538107761204136</v>
      </c>
      <c r="R5" s="31">
        <f t="shared" si="5"/>
        <v>6.9595885125852215</v>
      </c>
      <c r="S5" s="31">
        <f t="shared" si="6"/>
        <v>2.5258754453209247</v>
      </c>
      <c r="T5" s="31">
        <f t="shared" si="7"/>
        <v>5.2341467049484081</v>
      </c>
      <c r="U5" s="31">
        <f t="shared" si="8"/>
        <v>2.1774648566975494</v>
      </c>
      <c r="V5" s="31">
        <f t="shared" si="9"/>
        <v>3.5643513528895037</v>
      </c>
      <c r="W5" s="33"/>
      <c r="X5" s="31">
        <f t="shared" ref="X5:X17" si="12">M5*1000000/B$39/1000000</f>
        <v>0.24580752802095612</v>
      </c>
      <c r="Y5" s="31">
        <f t="shared" ref="Y5:Y18" si="13">N5*1000000/C$39/1000000</f>
        <v>0.69667462840788907</v>
      </c>
      <c r="Z5" s="31">
        <f t="shared" ref="Z5:Z18" si="14">O5*1000000/D$39/1000000</f>
        <v>0.93865562812561898</v>
      </c>
      <c r="AA5" s="31">
        <f t="shared" ref="AA5:AA18" si="15">P5*1000000/E$39/1000000</f>
        <v>2.1924916007652153</v>
      </c>
      <c r="AB5" s="31">
        <f t="shared" ref="AB5:AB18" si="16">Q5*1000000/F$39/1000000</f>
        <v>0.73352211848129867</v>
      </c>
      <c r="AC5" s="31">
        <f t="shared" ref="AC5:AC18" si="17">R5*1000000/G$39/1000000</f>
        <v>0.87344233340677979</v>
      </c>
      <c r="AD5" s="31">
        <f t="shared" ref="AD5:AD18" si="18">S5*1000000/H$39/1000000</f>
        <v>0.24921319783342791</v>
      </c>
      <c r="AE5" s="31">
        <f t="shared" ref="AE5:AE18" si="19">T5*1000000/I$39/1000000</f>
        <v>0.65689592180577405</v>
      </c>
      <c r="AF5" s="31">
        <f t="shared" ref="AF5:AF18" si="20">U5*1000000/J$39/1000000</f>
        <v>0.21483758477194287</v>
      </c>
      <c r="AG5" s="31">
        <f t="shared" ref="AG5:AG18" si="21">V5*1000000/K$39/1000000</f>
        <v>0.44733325211966668</v>
      </c>
      <c r="AH5" s="46">
        <f t="shared" si="11"/>
        <v>63.434357729508541</v>
      </c>
      <c r="AI5" s="80">
        <f t="shared" ref="AI5:AI31" si="22">SUM(X5:AG5)</f>
        <v>7.2488737937385697</v>
      </c>
    </row>
    <row r="6" spans="1:35" x14ac:dyDescent="0.25">
      <c r="A6" s="40" t="s">
        <v>47</v>
      </c>
      <c r="B6" s="31">
        <v>518.26291757498541</v>
      </c>
      <c r="C6" s="31">
        <v>174.07450415321583</v>
      </c>
      <c r="D6" s="31">
        <v>1446.8427681205385</v>
      </c>
      <c r="E6" s="31">
        <v>395.15292423500631</v>
      </c>
      <c r="F6" s="31">
        <v>588.79286920684876</v>
      </c>
      <c r="G6" s="31">
        <v>792.03249105541192</v>
      </c>
      <c r="H6" s="31">
        <v>726.05262262519079</v>
      </c>
      <c r="I6" s="31">
        <v>190.0332900625105</v>
      </c>
      <c r="J6" s="31">
        <v>305.88499992579574</v>
      </c>
      <c r="K6" s="31">
        <v>632.75576361965068</v>
      </c>
      <c r="L6" s="33"/>
      <c r="M6" s="31">
        <f t="shared" si="0"/>
        <v>9.6396902668947302</v>
      </c>
      <c r="N6" s="31">
        <f t="shared" si="1"/>
        <v>3.2377857772498144</v>
      </c>
      <c r="O6" s="31">
        <f t="shared" si="2"/>
        <v>27.490012594290231</v>
      </c>
      <c r="P6" s="31">
        <f t="shared" si="3"/>
        <v>7.6264514377356223</v>
      </c>
      <c r="Q6" s="31">
        <f t="shared" si="4"/>
        <v>11.187064514930126</v>
      </c>
      <c r="R6" s="31">
        <f t="shared" si="5"/>
        <v>15.207023828263909</v>
      </c>
      <c r="S6" s="31">
        <f t="shared" si="6"/>
        <v>13.577184043091066</v>
      </c>
      <c r="T6" s="31">
        <f t="shared" si="7"/>
        <v>3.6486391692002016</v>
      </c>
      <c r="U6" s="31">
        <f t="shared" si="8"/>
        <v>5.7200494986123802</v>
      </c>
      <c r="V6" s="31">
        <f t="shared" si="9"/>
        <v>12.148910661497293</v>
      </c>
      <c r="W6" s="33"/>
      <c r="X6" s="31">
        <f t="shared" si="12"/>
        <v>0.95620464497229785</v>
      </c>
      <c r="Y6" s="31">
        <f t="shared" si="13"/>
        <v>0.41945663651377302</v>
      </c>
      <c r="Z6" s="31">
        <f t="shared" si="14"/>
        <v>2.6354148781794873</v>
      </c>
      <c r="AA6" s="31">
        <f t="shared" si="15"/>
        <v>0.94084029579763417</v>
      </c>
      <c r="AB6" s="31">
        <f t="shared" si="16"/>
        <v>1.0863337070237062</v>
      </c>
      <c r="AC6" s="31">
        <f t="shared" si="17"/>
        <v>1.9085120266395468</v>
      </c>
      <c r="AD6" s="31">
        <f t="shared" si="18"/>
        <v>1.3395804845483223</v>
      </c>
      <c r="AE6" s="31">
        <f t="shared" si="19"/>
        <v>0.45791154231930237</v>
      </c>
      <c r="AF6" s="31">
        <f t="shared" si="20"/>
        <v>0.56436346849777819</v>
      </c>
      <c r="AG6" s="31">
        <f t="shared" si="21"/>
        <v>1.5247126834208451</v>
      </c>
      <c r="AH6" s="46">
        <f t="shared" si="11"/>
        <v>109.48281179176539</v>
      </c>
      <c r="AI6" s="80">
        <f t="shared" si="22"/>
        <v>11.833330367912691</v>
      </c>
    </row>
    <row r="7" spans="1:35" x14ac:dyDescent="0.25">
      <c r="A7" s="40" t="s">
        <v>50</v>
      </c>
      <c r="B7" s="31">
        <v>480.84362484737659</v>
      </c>
      <c r="C7" s="31">
        <v>118.88223822570673</v>
      </c>
      <c r="D7" s="31">
        <v>2134.7859447502819</v>
      </c>
      <c r="E7" s="31">
        <v>319.31792377680671</v>
      </c>
      <c r="F7" s="31">
        <v>1036.206935745736</v>
      </c>
      <c r="G7" s="31">
        <v>143.33577723587251</v>
      </c>
      <c r="H7" s="31">
        <v>358.65902769409581</v>
      </c>
      <c r="I7" s="31">
        <v>75.60810196675817</v>
      </c>
      <c r="J7" s="31">
        <v>191.66140625452852</v>
      </c>
      <c r="K7" s="31">
        <v>44.321368995756039</v>
      </c>
      <c r="L7" s="33"/>
      <c r="M7" s="31">
        <f t="shared" si="0"/>
        <v>8.9436914221612049</v>
      </c>
      <c r="N7" s="31">
        <f t="shared" si="1"/>
        <v>2.211209630998145</v>
      </c>
      <c r="O7" s="31">
        <f t="shared" si="2"/>
        <v>40.560932950255356</v>
      </c>
      <c r="P7" s="31">
        <f t="shared" si="3"/>
        <v>6.1628359288923704</v>
      </c>
      <c r="Q7" s="31">
        <f t="shared" si="4"/>
        <v>19.687931779168984</v>
      </c>
      <c r="R7" s="31">
        <f t="shared" si="5"/>
        <v>2.7520469229287521</v>
      </c>
      <c r="S7" s="31">
        <f t="shared" si="6"/>
        <v>6.7069238178795914</v>
      </c>
      <c r="T7" s="31">
        <f t="shared" si="7"/>
        <v>1.4516755577617568</v>
      </c>
      <c r="U7" s="31">
        <f t="shared" si="8"/>
        <v>3.5840682969596833</v>
      </c>
      <c r="V7" s="31">
        <f t="shared" si="9"/>
        <v>0.85097028471851588</v>
      </c>
      <c r="W7" s="33"/>
      <c r="X7" s="31">
        <f t="shared" si="12"/>
        <v>0.88716535949700481</v>
      </c>
      <c r="Y7" s="31">
        <f t="shared" si="13"/>
        <v>0.28646322464025709</v>
      </c>
      <c r="Z7" s="31">
        <f t="shared" si="14"/>
        <v>3.8884989886161789</v>
      </c>
      <c r="AA7" s="31">
        <f t="shared" si="15"/>
        <v>0.76028077089715884</v>
      </c>
      <c r="AB7" s="31">
        <f t="shared" si="16"/>
        <v>1.9118209146600296</v>
      </c>
      <c r="AC7" s="31">
        <f t="shared" si="17"/>
        <v>0.3453874150261988</v>
      </c>
      <c r="AD7" s="31">
        <f t="shared" si="18"/>
        <v>0.66173252342084099</v>
      </c>
      <c r="AE7" s="31">
        <f t="shared" si="19"/>
        <v>0.18218819751026066</v>
      </c>
      <c r="AF7" s="31">
        <f t="shared" si="20"/>
        <v>0.35361883072791245</v>
      </c>
      <c r="AG7" s="31">
        <f t="shared" si="21"/>
        <v>0.10679847950784586</v>
      </c>
      <c r="AH7" s="46">
        <f t="shared" si="11"/>
        <v>92.912286591724381</v>
      </c>
      <c r="AI7" s="80">
        <f t="shared" si="22"/>
        <v>9.3839547045036902</v>
      </c>
    </row>
    <row r="8" spans="1:35" x14ac:dyDescent="0.25">
      <c r="A8" s="40" t="s">
        <v>51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3"/>
      <c r="M8" s="31">
        <f t="shared" si="0"/>
        <v>0</v>
      </c>
      <c r="N8" s="31">
        <f t="shared" si="1"/>
        <v>0</v>
      </c>
      <c r="O8" s="31">
        <f t="shared" si="2"/>
        <v>0</v>
      </c>
      <c r="P8" s="31">
        <f t="shared" si="3"/>
        <v>0</v>
      </c>
      <c r="Q8" s="31">
        <f t="shared" si="4"/>
        <v>0</v>
      </c>
      <c r="R8" s="31">
        <f t="shared" si="5"/>
        <v>0</v>
      </c>
      <c r="S8" s="31">
        <f t="shared" si="6"/>
        <v>0</v>
      </c>
      <c r="T8" s="31">
        <f t="shared" si="7"/>
        <v>0</v>
      </c>
      <c r="U8" s="31">
        <f t="shared" si="8"/>
        <v>0</v>
      </c>
      <c r="V8" s="31">
        <f t="shared" si="9"/>
        <v>0</v>
      </c>
      <c r="W8" s="33"/>
      <c r="X8" s="31">
        <f t="shared" si="12"/>
        <v>0</v>
      </c>
      <c r="Y8" s="31">
        <f t="shared" si="13"/>
        <v>0</v>
      </c>
      <c r="Z8" s="31">
        <f t="shared" si="14"/>
        <v>0</v>
      </c>
      <c r="AA8" s="31">
        <f t="shared" si="15"/>
        <v>0</v>
      </c>
      <c r="AB8" s="31">
        <f t="shared" si="16"/>
        <v>0</v>
      </c>
      <c r="AC8" s="31">
        <f t="shared" si="17"/>
        <v>0</v>
      </c>
      <c r="AD8" s="31">
        <f t="shared" si="18"/>
        <v>0</v>
      </c>
      <c r="AE8" s="31">
        <f t="shared" si="19"/>
        <v>0</v>
      </c>
      <c r="AF8" s="31">
        <f t="shared" si="20"/>
        <v>0</v>
      </c>
      <c r="AG8" s="31">
        <f t="shared" si="21"/>
        <v>0</v>
      </c>
      <c r="AH8" s="46">
        <f t="shared" si="11"/>
        <v>0</v>
      </c>
      <c r="AI8" s="80">
        <f t="shared" si="22"/>
        <v>0</v>
      </c>
    </row>
    <row r="9" spans="1:35" x14ac:dyDescent="0.25">
      <c r="A9" s="40" t="s">
        <v>96</v>
      </c>
      <c r="B9" s="31">
        <v>498.62233068111357</v>
      </c>
      <c r="C9" s="31">
        <v>1388.4919881613748</v>
      </c>
      <c r="D9" s="31">
        <v>1919.3651489144468</v>
      </c>
      <c r="E9" s="31">
        <v>4093.5128174445344</v>
      </c>
      <c r="F9" s="31">
        <v>1215.2089214108034</v>
      </c>
      <c r="G9" s="31">
        <v>2427.0232538376204</v>
      </c>
      <c r="H9" s="31">
        <v>520.73394250409103</v>
      </c>
      <c r="I9" s="31">
        <v>1509.2870596652349</v>
      </c>
      <c r="J9" s="31">
        <v>397.05433745982737</v>
      </c>
      <c r="K9" s="31">
        <v>1073.8993590101741</v>
      </c>
      <c r="L9" s="33"/>
      <c r="M9" s="31">
        <f t="shared" si="0"/>
        <v>9.2743753506687128</v>
      </c>
      <c r="N9" s="31">
        <f t="shared" si="1"/>
        <v>25.825950979801576</v>
      </c>
      <c r="O9" s="31">
        <f t="shared" si="2"/>
        <v>36.467937829374492</v>
      </c>
      <c r="P9" s="31">
        <f t="shared" si="3"/>
        <v>79.00479737667952</v>
      </c>
      <c r="Q9" s="31">
        <f t="shared" si="4"/>
        <v>23.088969506805267</v>
      </c>
      <c r="R9" s="31">
        <f t="shared" si="5"/>
        <v>46.598846473682308</v>
      </c>
      <c r="S9" s="31">
        <f t="shared" si="6"/>
        <v>9.7377247248265011</v>
      </c>
      <c r="T9" s="31">
        <f t="shared" si="7"/>
        <v>28.978311545572506</v>
      </c>
      <c r="U9" s="31">
        <f t="shared" si="8"/>
        <v>7.4249161104987715</v>
      </c>
      <c r="V9" s="31">
        <f t="shared" si="9"/>
        <v>20.618867692995341</v>
      </c>
      <c r="W9" s="33"/>
      <c r="X9" s="31">
        <f t="shared" si="12"/>
        <v>0.91996739978065234</v>
      </c>
      <c r="Y9" s="31">
        <f t="shared" si="13"/>
        <v>3.3457638268948795</v>
      </c>
      <c r="Z9" s="31">
        <f t="shared" si="14"/>
        <v>3.4961113823578276</v>
      </c>
      <c r="AA9" s="31">
        <f t="shared" si="15"/>
        <v>9.7464590891536549</v>
      </c>
      <c r="AB9" s="31">
        <f t="shared" si="16"/>
        <v>2.2420828808317408</v>
      </c>
      <c r="AC9" s="31">
        <f t="shared" si="17"/>
        <v>5.8482488044279997</v>
      </c>
      <c r="AD9" s="31">
        <f t="shared" si="18"/>
        <v>0.9607637315573635</v>
      </c>
      <c r="AE9" s="31">
        <f t="shared" si="19"/>
        <v>3.6368362883499628</v>
      </c>
      <c r="AF9" s="31">
        <f t="shared" si="20"/>
        <v>0.732572578339165</v>
      </c>
      <c r="AG9" s="31">
        <f t="shared" si="21"/>
        <v>2.5877092988196959</v>
      </c>
      <c r="AH9" s="46">
        <f t="shared" si="11"/>
        <v>287.020697590905</v>
      </c>
      <c r="AI9" s="80">
        <f t="shared" si="22"/>
        <v>33.516515280512941</v>
      </c>
    </row>
    <row r="10" spans="1:35" x14ac:dyDescent="0.25">
      <c r="A10" s="40" t="s">
        <v>53</v>
      </c>
      <c r="B10" s="31">
        <v>54.005536620602072</v>
      </c>
      <c r="C10" s="31">
        <v>168.28485589030691</v>
      </c>
      <c r="D10" s="31">
        <v>182.5440541632714</v>
      </c>
      <c r="E10" s="31">
        <v>613.58842089606151</v>
      </c>
      <c r="F10" s="31">
        <v>217.66796972010297</v>
      </c>
      <c r="G10" s="31">
        <v>289.16272079946452</v>
      </c>
      <c r="H10" s="31">
        <v>48.079773730928167</v>
      </c>
      <c r="I10" s="31">
        <v>177.5507341803989</v>
      </c>
      <c r="J10" s="31">
        <v>65.166664135452947</v>
      </c>
      <c r="K10" s="31">
        <v>173.49147814143922</v>
      </c>
      <c r="L10" s="33"/>
      <c r="M10" s="31">
        <f t="shared" si="0"/>
        <v>1.0045029811431987</v>
      </c>
      <c r="N10" s="31">
        <f t="shared" si="1"/>
        <v>3.1300983195597092</v>
      </c>
      <c r="O10" s="31">
        <f t="shared" si="2"/>
        <v>3.4683370291021567</v>
      </c>
      <c r="P10" s="31">
        <f t="shared" si="3"/>
        <v>11.842256523293987</v>
      </c>
      <c r="Q10" s="31">
        <f t="shared" si="4"/>
        <v>4.1356914246819567</v>
      </c>
      <c r="R10" s="31">
        <f t="shared" si="5"/>
        <v>5.5519242393497192</v>
      </c>
      <c r="S10" s="31">
        <f t="shared" si="6"/>
        <v>0.89909176876835672</v>
      </c>
      <c r="T10" s="31">
        <f t="shared" si="7"/>
        <v>3.408974096263659</v>
      </c>
      <c r="U10" s="31">
        <f t="shared" si="8"/>
        <v>1.2186166193329702</v>
      </c>
      <c r="V10" s="31">
        <f t="shared" si="9"/>
        <v>3.3310363803156333</v>
      </c>
      <c r="W10" s="33"/>
      <c r="X10" s="31">
        <f t="shared" si="12"/>
        <v>9.9641211477125596E-2</v>
      </c>
      <c r="Y10" s="31">
        <f t="shared" si="13"/>
        <v>0.40550567684411304</v>
      </c>
      <c r="Z10" s="31">
        <f t="shared" si="14"/>
        <v>0.33250283089849075</v>
      </c>
      <c r="AA10" s="31">
        <f t="shared" si="15"/>
        <v>1.4609248116572893</v>
      </c>
      <c r="AB10" s="31">
        <f t="shared" si="16"/>
        <v>0.40160142014779149</v>
      </c>
      <c r="AC10" s="31">
        <f t="shared" si="17"/>
        <v>0.69677764048063739</v>
      </c>
      <c r="AD10" s="31">
        <f t="shared" si="18"/>
        <v>8.8708069614258631E-2</v>
      </c>
      <c r="AE10" s="31">
        <f t="shared" si="19"/>
        <v>0.4278330944105998</v>
      </c>
      <c r="AF10" s="31">
        <f t="shared" si="20"/>
        <v>0.12023369766688737</v>
      </c>
      <c r="AG10" s="31">
        <f t="shared" si="21"/>
        <v>0.41805175455768495</v>
      </c>
      <c r="AH10" s="46">
        <f t="shared" si="11"/>
        <v>37.990529381811349</v>
      </c>
      <c r="AI10" s="80">
        <f t="shared" si="22"/>
        <v>4.4517802077548785</v>
      </c>
    </row>
    <row r="11" spans="1:35" x14ac:dyDescent="0.25">
      <c r="A11" s="40" t="s">
        <v>54</v>
      </c>
      <c r="B11" s="31">
        <v>390.52433268365559</v>
      </c>
      <c r="C11" s="31">
        <v>321.29278643488988</v>
      </c>
      <c r="D11" s="31">
        <v>2502.0076890627361</v>
      </c>
      <c r="E11" s="31">
        <v>1427.3363231800481</v>
      </c>
      <c r="F11" s="31">
        <v>590.39224191891276</v>
      </c>
      <c r="G11" s="31">
        <v>597.09325586661225</v>
      </c>
      <c r="H11" s="31">
        <v>368.04338448828628</v>
      </c>
      <c r="I11" s="31">
        <v>290.65158275253117</v>
      </c>
      <c r="J11" s="31">
        <v>91.71127395889043</v>
      </c>
      <c r="K11" s="31">
        <v>135.79302524019559</v>
      </c>
      <c r="L11" s="33"/>
      <c r="M11" s="31">
        <f t="shared" si="0"/>
        <v>7.2637525879159934</v>
      </c>
      <c r="N11" s="31">
        <f t="shared" si="1"/>
        <v>5.9760458276889512</v>
      </c>
      <c r="O11" s="31">
        <f t="shared" si="2"/>
        <v>47.538146092191987</v>
      </c>
      <c r="P11" s="31">
        <f t="shared" si="3"/>
        <v>27.547591037374932</v>
      </c>
      <c r="Q11" s="31">
        <f t="shared" si="4"/>
        <v>11.217452596459342</v>
      </c>
      <c r="R11" s="31">
        <f t="shared" si="5"/>
        <v>11.464190512638954</v>
      </c>
      <c r="S11" s="31">
        <f t="shared" si="6"/>
        <v>6.8824112899309533</v>
      </c>
      <c r="T11" s="31">
        <f t="shared" si="7"/>
        <v>5.5805103888485981</v>
      </c>
      <c r="U11" s="31">
        <f t="shared" si="8"/>
        <v>1.715000823031251</v>
      </c>
      <c r="V11" s="31">
        <f t="shared" si="9"/>
        <v>2.6072260846117552</v>
      </c>
      <c r="W11" s="33"/>
      <c r="X11" s="31">
        <f t="shared" si="12"/>
        <v>0.7205245990473349</v>
      </c>
      <c r="Y11" s="31">
        <f t="shared" si="13"/>
        <v>0.77419948538527661</v>
      </c>
      <c r="Z11" s="31">
        <f t="shared" si="14"/>
        <v>4.5573910547590826</v>
      </c>
      <c r="AA11" s="31">
        <f t="shared" si="15"/>
        <v>3.3984198170953532</v>
      </c>
      <c r="AB11" s="31">
        <f t="shared" si="16"/>
        <v>1.089284579186186</v>
      </c>
      <c r="AC11" s="31">
        <f t="shared" si="17"/>
        <v>1.4387789297990654</v>
      </c>
      <c r="AD11" s="31">
        <f t="shared" si="18"/>
        <v>0.67904683484923678</v>
      </c>
      <c r="AE11" s="31">
        <f t="shared" si="19"/>
        <v>0.70036525964465346</v>
      </c>
      <c r="AF11" s="31">
        <f t="shared" si="20"/>
        <v>0.16920899254407828</v>
      </c>
      <c r="AG11" s="31">
        <f t="shared" si="21"/>
        <v>0.32721210901251946</v>
      </c>
      <c r="AH11" s="46">
        <f t="shared" si="11"/>
        <v>127.7923272406927</v>
      </c>
      <c r="AI11" s="80">
        <f t="shared" si="22"/>
        <v>13.854431661322787</v>
      </c>
    </row>
    <row r="12" spans="1:35" x14ac:dyDescent="0.25">
      <c r="A12" s="40" t="s">
        <v>55</v>
      </c>
      <c r="B12" s="31">
        <v>803.96166020455746</v>
      </c>
      <c r="C12" s="31">
        <v>6840.5046558501626</v>
      </c>
      <c r="D12" s="31">
        <v>1321.9022755042604</v>
      </c>
      <c r="E12" s="31">
        <v>16715.902260316292</v>
      </c>
      <c r="F12" s="31">
        <v>1354.3393001732879</v>
      </c>
      <c r="G12" s="31">
        <v>9159.6190125715129</v>
      </c>
      <c r="H12" s="31">
        <v>578.09908969708169</v>
      </c>
      <c r="I12" s="31">
        <v>5262.2388572647433</v>
      </c>
      <c r="J12" s="31">
        <v>649.2470296221079</v>
      </c>
      <c r="K12" s="31">
        <v>3268.611860856392</v>
      </c>
      <c r="L12" s="33"/>
      <c r="M12" s="31">
        <f t="shared" si="0"/>
        <v>14.953686879804769</v>
      </c>
      <c r="N12" s="31">
        <f t="shared" si="1"/>
        <v>127.23338659881303</v>
      </c>
      <c r="O12" s="31">
        <f t="shared" si="2"/>
        <v>25.116143234580942</v>
      </c>
      <c r="P12" s="31">
        <f t="shared" si="3"/>
        <v>322.61691362410443</v>
      </c>
      <c r="Q12" s="31">
        <f t="shared" si="4"/>
        <v>25.732446703292467</v>
      </c>
      <c r="R12" s="31">
        <f t="shared" si="5"/>
        <v>175.86468504137301</v>
      </c>
      <c r="S12" s="31">
        <f t="shared" si="6"/>
        <v>10.810452977335427</v>
      </c>
      <c r="T12" s="31">
        <f t="shared" si="7"/>
        <v>101.03498605948306</v>
      </c>
      <c r="U12" s="31">
        <f t="shared" si="8"/>
        <v>12.140919453933416</v>
      </c>
      <c r="V12" s="31">
        <f t="shared" si="9"/>
        <v>62.757347728442717</v>
      </c>
      <c r="W12" s="33"/>
      <c r="X12" s="31">
        <f t="shared" si="12"/>
        <v>1.4833240963183716</v>
      </c>
      <c r="Y12" s="31">
        <f t="shared" si="13"/>
        <v>16.483143749036532</v>
      </c>
      <c r="Z12" s="31">
        <f t="shared" si="14"/>
        <v>2.4078365674030242</v>
      </c>
      <c r="AA12" s="31">
        <f t="shared" si="15"/>
        <v>39.799767286467365</v>
      </c>
      <c r="AB12" s="31">
        <f t="shared" si="16"/>
        <v>2.4987809966296819</v>
      </c>
      <c r="AC12" s="31">
        <f t="shared" si="17"/>
        <v>22.071371114630146</v>
      </c>
      <c r="AD12" s="31">
        <f t="shared" si="18"/>
        <v>1.066603486525981</v>
      </c>
      <c r="AE12" s="31">
        <f t="shared" si="19"/>
        <v>12.680093631963237</v>
      </c>
      <c r="AF12" s="31">
        <f t="shared" si="20"/>
        <v>1.1978727483802729</v>
      </c>
      <c r="AG12" s="31">
        <f t="shared" si="21"/>
        <v>7.8761731586900998</v>
      </c>
      <c r="AH12" s="46">
        <f t="shared" si="11"/>
        <v>878.26096830116319</v>
      </c>
      <c r="AI12" s="80">
        <f t="shared" si="22"/>
        <v>107.5649668360447</v>
      </c>
    </row>
    <row r="13" spans="1:35" x14ac:dyDescent="0.25">
      <c r="A13" s="40" t="s">
        <v>56</v>
      </c>
      <c r="B13" s="31">
        <v>4086.4175386046377</v>
      </c>
      <c r="C13" s="31">
        <v>3348.1468944097542</v>
      </c>
      <c r="D13" s="31">
        <v>15192.267677294534</v>
      </c>
      <c r="E13" s="31">
        <v>9106.5645563126272</v>
      </c>
      <c r="F13" s="31">
        <v>7724.5873435718868</v>
      </c>
      <c r="G13" s="31">
        <v>7210.2952327944377</v>
      </c>
      <c r="H13" s="31">
        <v>3982.827294702061</v>
      </c>
      <c r="I13" s="31">
        <v>2618.5449139397911</v>
      </c>
      <c r="J13" s="31">
        <v>2266.5289568752992</v>
      </c>
      <c r="K13" s="31">
        <v>2950.8574626240043</v>
      </c>
      <c r="L13" s="33"/>
      <c r="M13" s="31">
        <f t="shared" si="0"/>
        <v>76.007366218046258</v>
      </c>
      <c r="N13" s="31">
        <f t="shared" si="1"/>
        <v>62.275532236021434</v>
      </c>
      <c r="O13" s="31">
        <f t="shared" si="2"/>
        <v>288.65308586859612</v>
      </c>
      <c r="P13" s="31">
        <f t="shared" si="3"/>
        <v>175.75669593683372</v>
      </c>
      <c r="Q13" s="31">
        <f t="shared" si="4"/>
        <v>146.76715952786586</v>
      </c>
      <c r="R13" s="31">
        <f t="shared" si="5"/>
        <v>138.4376684696532</v>
      </c>
      <c r="S13" s="31">
        <f t="shared" si="6"/>
        <v>74.478870410928536</v>
      </c>
      <c r="T13" s="31">
        <f t="shared" si="7"/>
        <v>50.276062347643986</v>
      </c>
      <c r="U13" s="31">
        <f t="shared" si="8"/>
        <v>42.384091493568093</v>
      </c>
      <c r="V13" s="31">
        <f t="shared" si="9"/>
        <v>56.656463282380884</v>
      </c>
      <c r="W13" s="33"/>
      <c r="X13" s="31">
        <f t="shared" si="12"/>
        <v>7.5395157538830944</v>
      </c>
      <c r="Y13" s="31">
        <f t="shared" si="13"/>
        <v>8.0678238419512152</v>
      </c>
      <c r="Z13" s="31">
        <f t="shared" si="14"/>
        <v>27.672618720026474</v>
      </c>
      <c r="AA13" s="31">
        <f t="shared" si="15"/>
        <v>21.68229656264911</v>
      </c>
      <c r="AB13" s="31">
        <f t="shared" si="16"/>
        <v>14.252006168951821</v>
      </c>
      <c r="AC13" s="31">
        <f t="shared" si="17"/>
        <v>17.374205380227558</v>
      </c>
      <c r="AD13" s="31">
        <f t="shared" si="18"/>
        <v>7.3483898426237291</v>
      </c>
      <c r="AE13" s="31">
        <f t="shared" si="19"/>
        <v>6.3097467805778091</v>
      </c>
      <c r="AF13" s="31">
        <f t="shared" si="20"/>
        <v>4.18178774331236</v>
      </c>
      <c r="AG13" s="31">
        <f t="shared" si="21"/>
        <v>7.11049990993736</v>
      </c>
      <c r="AH13" s="46">
        <f t="shared" si="11"/>
        <v>1111.6929957915379</v>
      </c>
      <c r="AI13" s="80">
        <f t="shared" si="22"/>
        <v>121.53889070414053</v>
      </c>
    </row>
    <row r="14" spans="1:35" x14ac:dyDescent="0.25">
      <c r="A14" s="40" t="s">
        <v>57</v>
      </c>
      <c r="B14" s="31">
        <v>3009.1919913094453</v>
      </c>
      <c r="C14" s="31">
        <v>5097.0283779646443</v>
      </c>
      <c r="D14" s="31">
        <v>10797.984059985734</v>
      </c>
      <c r="E14" s="31">
        <v>13625.164263601606</v>
      </c>
      <c r="F14" s="31">
        <v>6820.6080940189913</v>
      </c>
      <c r="G14" s="31">
        <v>8238.5904986638943</v>
      </c>
      <c r="H14" s="31">
        <v>3002.5063152692478</v>
      </c>
      <c r="I14" s="31">
        <v>4807.3986916826443</v>
      </c>
      <c r="J14" s="31">
        <v>2135.1188720477271</v>
      </c>
      <c r="K14" s="31">
        <v>3990.8818790375776</v>
      </c>
      <c r="L14" s="33"/>
      <c r="M14" s="31">
        <f t="shared" si="0"/>
        <v>55.970971038355692</v>
      </c>
      <c r="N14" s="31">
        <f t="shared" si="1"/>
        <v>94.804727830142397</v>
      </c>
      <c r="O14" s="31">
        <f t="shared" si="2"/>
        <v>205.16169713972897</v>
      </c>
      <c r="P14" s="31">
        <f t="shared" si="3"/>
        <v>262.96567028751099</v>
      </c>
      <c r="Q14" s="31">
        <f t="shared" si="4"/>
        <v>129.59155378636083</v>
      </c>
      <c r="R14" s="31">
        <f t="shared" si="5"/>
        <v>158.18093757434679</v>
      </c>
      <c r="S14" s="31">
        <f t="shared" si="6"/>
        <v>56.146868095534934</v>
      </c>
      <c r="T14" s="31">
        <f t="shared" si="7"/>
        <v>92.30205488030677</v>
      </c>
      <c r="U14" s="31">
        <f t="shared" si="8"/>
        <v>39.926722907292493</v>
      </c>
      <c r="V14" s="31">
        <f t="shared" si="9"/>
        <v>76.624932077521478</v>
      </c>
      <c r="W14" s="33"/>
      <c r="X14" s="31">
        <f t="shared" si="12"/>
        <v>5.552014744113368</v>
      </c>
      <c r="Y14" s="31">
        <f t="shared" si="13"/>
        <v>12.281996091481069</v>
      </c>
      <c r="Z14" s="31">
        <f t="shared" si="14"/>
        <v>19.668459125657076</v>
      </c>
      <c r="AA14" s="31">
        <f t="shared" si="15"/>
        <v>32.440867294289539</v>
      </c>
      <c r="AB14" s="31">
        <f t="shared" si="16"/>
        <v>12.584147774942787</v>
      </c>
      <c r="AC14" s="31">
        <f t="shared" si="17"/>
        <v>19.852025297985289</v>
      </c>
      <c r="AD14" s="31">
        <f t="shared" si="18"/>
        <v>5.5396795484672481</v>
      </c>
      <c r="AE14" s="31">
        <f t="shared" si="19"/>
        <v>11.584093232970227</v>
      </c>
      <c r="AF14" s="31">
        <f t="shared" si="20"/>
        <v>3.9393337122651788</v>
      </c>
      <c r="AG14" s="31">
        <f t="shared" si="21"/>
        <v>9.6165828410544023</v>
      </c>
      <c r="AH14" s="46">
        <f t="shared" si="11"/>
        <v>1171.6761356171014</v>
      </c>
      <c r="AI14" s="80">
        <f t="shared" si="22"/>
        <v>133.0591996632262</v>
      </c>
    </row>
    <row r="15" spans="1:35" s="43" customFormat="1" x14ac:dyDescent="0.25">
      <c r="A15" s="40" t="s">
        <v>58</v>
      </c>
      <c r="B15" s="41">
        <v>1125.3432170860924</v>
      </c>
      <c r="C15" s="41">
        <v>966.87757320451328</v>
      </c>
      <c r="D15" s="41">
        <v>3601.1379682591187</v>
      </c>
      <c r="E15" s="41">
        <v>4579.0430832619186</v>
      </c>
      <c r="F15" s="41">
        <v>1408.1662984151849</v>
      </c>
      <c r="G15" s="41">
        <v>1333.0332718294896</v>
      </c>
      <c r="H15" s="41">
        <v>1115.4644800602439</v>
      </c>
      <c r="I15" s="41">
        <v>713.93941817482244</v>
      </c>
      <c r="J15" s="41">
        <v>458.97254581089504</v>
      </c>
      <c r="K15" s="41">
        <v>346.47107403455828</v>
      </c>
      <c r="L15" s="42"/>
      <c r="M15" s="41">
        <f t="shared" si="0"/>
        <v>20.931383837801324</v>
      </c>
      <c r="N15" s="41">
        <f t="shared" si="1"/>
        <v>17.983922861603951</v>
      </c>
      <c r="O15" s="41">
        <f t="shared" si="2"/>
        <v>68.421621396923257</v>
      </c>
      <c r="P15" s="41">
        <f t="shared" si="3"/>
        <v>88.375531506955042</v>
      </c>
      <c r="Q15" s="41">
        <f t="shared" si="4"/>
        <v>26.755159669888517</v>
      </c>
      <c r="R15" s="41">
        <f t="shared" si="5"/>
        <v>25.5942388191262</v>
      </c>
      <c r="S15" s="41">
        <f t="shared" si="6"/>
        <v>20.859185777126559</v>
      </c>
      <c r="T15" s="41">
        <f t="shared" si="7"/>
        <v>13.707636828956591</v>
      </c>
      <c r="U15" s="41">
        <f t="shared" si="8"/>
        <v>8.5827866066637366</v>
      </c>
      <c r="V15" s="41">
        <f t="shared" si="9"/>
        <v>6.6522446214635194</v>
      </c>
      <c r="W15" s="42"/>
      <c r="X15" s="31">
        <f t="shared" si="12"/>
        <v>2.0762789983138239</v>
      </c>
      <c r="Y15" s="31">
        <f t="shared" si="13"/>
        <v>2.3298254776012368</v>
      </c>
      <c r="Z15" s="31">
        <f t="shared" si="14"/>
        <v>6.5594498511095063</v>
      </c>
      <c r="AA15" s="31">
        <f t="shared" si="15"/>
        <v>10.902483531575998</v>
      </c>
      <c r="AB15" s="31">
        <f t="shared" si="16"/>
        <v>2.5980928015040319</v>
      </c>
      <c r="AC15" s="31">
        <f t="shared" si="17"/>
        <v>3.2121283658541917</v>
      </c>
      <c r="AD15" s="31">
        <f t="shared" si="18"/>
        <v>2.0580525462366124</v>
      </c>
      <c r="AE15" s="31">
        <f t="shared" si="19"/>
        <v>1.7203359474092108</v>
      </c>
      <c r="AF15" s="31">
        <f t="shared" si="20"/>
        <v>0.846812815149253</v>
      </c>
      <c r="AG15" s="31">
        <f t="shared" si="21"/>
        <v>0.83487005791459834</v>
      </c>
      <c r="AH15" s="46">
        <f t="shared" si="11"/>
        <v>297.8637119265087</v>
      </c>
      <c r="AI15" s="80">
        <f t="shared" si="22"/>
        <v>33.138330392668465</v>
      </c>
    </row>
    <row r="16" spans="1:35" x14ac:dyDescent="0.25">
      <c r="A16" s="40" t="s">
        <v>59</v>
      </c>
      <c r="B16" s="31">
        <v>132.94381665746576</v>
      </c>
      <c r="C16" s="31">
        <v>116.89546553602065</v>
      </c>
      <c r="D16" s="31">
        <v>612.00520239356013</v>
      </c>
      <c r="E16" s="31">
        <v>404.83431693783785</v>
      </c>
      <c r="F16" s="31">
        <v>563.95714096589541</v>
      </c>
      <c r="G16" s="31">
        <v>404.01377830490623</v>
      </c>
      <c r="H16" s="31">
        <v>160.84145805549974</v>
      </c>
      <c r="I16" s="31">
        <v>171.45812269337281</v>
      </c>
      <c r="J16" s="31">
        <v>147.28652922745312</v>
      </c>
      <c r="K16" s="31">
        <v>181.49232605610246</v>
      </c>
      <c r="L16" s="33"/>
      <c r="M16" s="31">
        <f t="shared" si="0"/>
        <v>2.472754989828863</v>
      </c>
      <c r="N16" s="31">
        <f t="shared" si="1"/>
        <v>2.174255658969984</v>
      </c>
      <c r="O16" s="31">
        <f t="shared" si="2"/>
        <v>11.628098845477645</v>
      </c>
      <c r="P16" s="31">
        <f t="shared" si="3"/>
        <v>7.8133023169002707</v>
      </c>
      <c r="Q16" s="31">
        <f t="shared" si="4"/>
        <v>10.715185678352013</v>
      </c>
      <c r="R16" s="31">
        <f t="shared" si="5"/>
        <v>7.7570645434541996</v>
      </c>
      <c r="S16" s="31">
        <f t="shared" si="6"/>
        <v>3.0077352656378449</v>
      </c>
      <c r="T16" s="31">
        <f t="shared" si="7"/>
        <v>3.2919959557127583</v>
      </c>
      <c r="U16" s="31">
        <f t="shared" si="8"/>
        <v>2.7542580965533734</v>
      </c>
      <c r="V16" s="31">
        <f t="shared" si="9"/>
        <v>3.4846526602771668</v>
      </c>
      <c r="W16" s="33"/>
      <c r="X16" s="31">
        <f t="shared" si="12"/>
        <v>0.24528379457097002</v>
      </c>
      <c r="Y16" s="31">
        <f t="shared" si="13"/>
        <v>0.28167582056872442</v>
      </c>
      <c r="Z16" s="31">
        <f t="shared" si="14"/>
        <v>1.1147635744873592</v>
      </c>
      <c r="AA16" s="31">
        <f t="shared" si="15"/>
        <v>0.963891230804376</v>
      </c>
      <c r="AB16" s="31">
        <f t="shared" si="16"/>
        <v>1.040511330195379</v>
      </c>
      <c r="AC16" s="31">
        <f t="shared" si="17"/>
        <v>0.97352717663832833</v>
      </c>
      <c r="AD16" s="31">
        <f t="shared" si="18"/>
        <v>0.2967554576669737</v>
      </c>
      <c r="AE16" s="31">
        <f t="shared" si="19"/>
        <v>0.41315210287559717</v>
      </c>
      <c r="AF16" s="31">
        <f t="shared" si="20"/>
        <v>0.27174636388828993</v>
      </c>
      <c r="AG16" s="31">
        <f t="shared" si="21"/>
        <v>0.43733090615928299</v>
      </c>
      <c r="AH16" s="46">
        <f t="shared" si="11"/>
        <v>55.099304011164122</v>
      </c>
      <c r="AI16" s="80">
        <f t="shared" si="22"/>
        <v>6.0386377578552803</v>
      </c>
    </row>
    <row r="17" spans="1:35" x14ac:dyDescent="0.25">
      <c r="A17" s="40" t="s">
        <v>60</v>
      </c>
      <c r="B17" s="31">
        <v>981.8581957211594</v>
      </c>
      <c r="C17" s="31">
        <v>162.72052898903814</v>
      </c>
      <c r="D17" s="31">
        <v>3109.173083966014</v>
      </c>
      <c r="E17" s="31">
        <v>424.55000189569517</v>
      </c>
      <c r="F17" s="31">
        <v>1370.6592317596653</v>
      </c>
      <c r="G17" s="31">
        <v>263.64270667256216</v>
      </c>
      <c r="H17" s="31">
        <v>1048.5550782939488</v>
      </c>
      <c r="I17" s="31">
        <v>129.63875537275084</v>
      </c>
      <c r="J17" s="31">
        <v>489.16081204864145</v>
      </c>
      <c r="K17" s="31">
        <v>169.49868359685226</v>
      </c>
      <c r="L17" s="33"/>
      <c r="M17" s="31">
        <f t="shared" si="0"/>
        <v>18.262562440413568</v>
      </c>
      <c r="N17" s="31">
        <f t="shared" si="1"/>
        <v>3.0266018391961098</v>
      </c>
      <c r="O17" s="31">
        <f t="shared" si="2"/>
        <v>59.074288595354261</v>
      </c>
      <c r="P17" s="31">
        <f t="shared" si="3"/>
        <v>8.1938150365869173</v>
      </c>
      <c r="Q17" s="31">
        <f t="shared" si="4"/>
        <v>26.04252540343364</v>
      </c>
      <c r="R17" s="31">
        <f t="shared" si="5"/>
        <v>5.0619399681131938</v>
      </c>
      <c r="S17" s="31">
        <f t="shared" si="6"/>
        <v>19.607979964096838</v>
      </c>
      <c r="T17" s="31">
        <f t="shared" si="7"/>
        <v>2.4890641031568159</v>
      </c>
      <c r="U17" s="31">
        <f t="shared" si="8"/>
        <v>9.1473071853095949</v>
      </c>
      <c r="V17" s="31">
        <f t="shared" si="9"/>
        <v>3.2543747250595638</v>
      </c>
      <c r="W17" s="33"/>
      <c r="X17" s="31">
        <f t="shared" si="12"/>
        <v>1.8115464865704052</v>
      </c>
      <c r="Y17" s="31">
        <f t="shared" si="13"/>
        <v>0.39209766021454967</v>
      </c>
      <c r="Z17" s="31">
        <f t="shared" si="14"/>
        <v>5.6633389507577672</v>
      </c>
      <c r="AA17" s="31">
        <f t="shared" si="15"/>
        <v>1.0108333378468934</v>
      </c>
      <c r="AB17" s="31">
        <f t="shared" si="16"/>
        <v>2.5288915715122973</v>
      </c>
      <c r="AC17" s="31">
        <f t="shared" si="17"/>
        <v>0.63528363053629444</v>
      </c>
      <c r="AD17" s="31">
        <f t="shared" si="18"/>
        <v>1.9346034654869901</v>
      </c>
      <c r="AE17" s="31">
        <f t="shared" si="19"/>
        <v>0.31238254306686941</v>
      </c>
      <c r="AF17" s="31">
        <f t="shared" si="20"/>
        <v>0.90251072333697679</v>
      </c>
      <c r="AG17" s="31">
        <f t="shared" si="21"/>
        <v>0.40843056288398139</v>
      </c>
      <c r="AH17" s="46">
        <f t="shared" si="11"/>
        <v>154.16045926072047</v>
      </c>
      <c r="AI17" s="80">
        <f t="shared" si="22"/>
        <v>15.599918932213026</v>
      </c>
    </row>
    <row r="18" spans="1:35" x14ac:dyDescent="0.25">
      <c r="A18" s="40" t="s">
        <v>61</v>
      </c>
      <c r="B18" s="31">
        <v>90.048951089136708</v>
      </c>
      <c r="C18" s="31">
        <v>162.40997663624771</v>
      </c>
      <c r="D18" s="31">
        <v>460.32811719050801</v>
      </c>
      <c r="E18" s="31">
        <v>541.37591434214983</v>
      </c>
      <c r="F18" s="31">
        <v>37.292375188798573</v>
      </c>
      <c r="G18" s="31">
        <v>326.55704385497842</v>
      </c>
      <c r="H18" s="31">
        <v>69.374676111376516</v>
      </c>
      <c r="I18" s="31">
        <v>84.135768317162174</v>
      </c>
      <c r="J18" s="31">
        <v>6.478525201417372</v>
      </c>
      <c r="K18" s="31">
        <v>111.83015412303783</v>
      </c>
      <c r="L18" s="33"/>
      <c r="M18" s="31">
        <f t="shared" si="0"/>
        <v>1.6749104902579428</v>
      </c>
      <c r="N18" s="31">
        <f t="shared" si="1"/>
        <v>3.0208255654342073</v>
      </c>
      <c r="O18" s="31">
        <f t="shared" si="2"/>
        <v>8.7462342266196522</v>
      </c>
      <c r="P18" s="31">
        <f t="shared" si="3"/>
        <v>10.448555146803493</v>
      </c>
      <c r="Q18" s="31">
        <f t="shared" si="4"/>
        <v>0.70855512858717296</v>
      </c>
      <c r="R18" s="31">
        <f t="shared" si="5"/>
        <v>6.2698952420155862</v>
      </c>
      <c r="S18" s="31">
        <f t="shared" si="6"/>
        <v>1.2973064432827406</v>
      </c>
      <c r="T18" s="31">
        <f t="shared" si="7"/>
        <v>1.6154067516895136</v>
      </c>
      <c r="U18" s="31">
        <f t="shared" si="8"/>
        <v>0.12114842126650484</v>
      </c>
      <c r="V18" s="31">
        <f t="shared" si="9"/>
        <v>2.1471389591623264</v>
      </c>
      <c r="W18" s="33"/>
      <c r="X18" s="31">
        <f>M18*1000000/B$39/1000000</f>
        <v>0.166141976179219</v>
      </c>
      <c r="Y18" s="31">
        <f t="shared" si="13"/>
        <v>0.39134934129216309</v>
      </c>
      <c r="Z18" s="31">
        <f t="shared" si="14"/>
        <v>0.83848473076595265</v>
      </c>
      <c r="AA18" s="31">
        <f t="shared" si="15"/>
        <v>1.2889902722432141</v>
      </c>
      <c r="AB18" s="31">
        <f t="shared" si="16"/>
        <v>6.8805120274536127E-2</v>
      </c>
      <c r="AC18" s="31">
        <f t="shared" si="17"/>
        <v>0.78688444302404448</v>
      </c>
      <c r="AD18" s="31">
        <f t="shared" si="18"/>
        <v>0.12799755740106367</v>
      </c>
      <c r="AE18" s="31">
        <f t="shared" si="19"/>
        <v>0.20273679112569198</v>
      </c>
      <c r="AF18" s="31">
        <f t="shared" si="20"/>
        <v>1.1952998526600317E-2</v>
      </c>
      <c r="AG18" s="31">
        <f t="shared" si="21"/>
        <v>0.26947025089888638</v>
      </c>
      <c r="AH18" s="46">
        <f t="shared" si="11"/>
        <v>36.049976375119137</v>
      </c>
      <c r="AI18" s="80">
        <f t="shared" si="22"/>
        <v>4.1528134817313722</v>
      </c>
    </row>
    <row r="19" spans="1:35" x14ac:dyDescent="0.25">
      <c r="A19" s="40" t="s">
        <v>62</v>
      </c>
      <c r="B19" s="31">
        <v>3218.5700364214554</v>
      </c>
      <c r="C19" s="31">
        <v>595.78629119708125</v>
      </c>
      <c r="D19" s="31">
        <v>8148.4216405491861</v>
      </c>
      <c r="E19" s="31">
        <v>1415.5927045785318</v>
      </c>
      <c r="F19" s="31">
        <v>1653.5559225549396</v>
      </c>
      <c r="G19" s="31">
        <v>1309.6067988142013</v>
      </c>
      <c r="H19" s="31">
        <v>2121.8281699400368</v>
      </c>
      <c r="I19" s="31">
        <v>456.82245955339829</v>
      </c>
      <c r="J19" s="31">
        <v>518.33944437065929</v>
      </c>
      <c r="K19" s="31">
        <v>448.33210290776771</v>
      </c>
      <c r="L19" s="33"/>
      <c r="M19" s="31">
        <f t="shared" si="0"/>
        <v>59.865402677439072</v>
      </c>
      <c r="N19" s="31">
        <f t="shared" si="1"/>
        <v>11.081625016265711</v>
      </c>
      <c r="O19" s="31">
        <f t="shared" si="2"/>
        <v>154.82001117043453</v>
      </c>
      <c r="P19" s="31">
        <f t="shared" si="3"/>
        <v>27.320939198365664</v>
      </c>
      <c r="Q19" s="31">
        <f t="shared" si="4"/>
        <v>31.417562528543851</v>
      </c>
      <c r="R19" s="31">
        <f t="shared" si="5"/>
        <v>25.144450537232665</v>
      </c>
      <c r="S19" s="31">
        <f t="shared" si="6"/>
        <v>39.678186777878686</v>
      </c>
      <c r="T19" s="31">
        <f t="shared" si="7"/>
        <v>8.7709912234252467</v>
      </c>
      <c r="U19" s="31">
        <f t="shared" si="8"/>
        <v>9.6929476097313287</v>
      </c>
      <c r="V19" s="31">
        <f t="shared" si="9"/>
        <v>8.6079763758291392</v>
      </c>
      <c r="W19" s="33"/>
      <c r="X19" s="31">
        <f t="shared" ref="X19:X28" si="23">M19*1000000/B$39/1000000</f>
        <v>5.9383211004085883</v>
      </c>
      <c r="Y19" s="31">
        <f t="shared" ref="Y19:Y31" si="24">N19*1000000/C$39/1000000</f>
        <v>1.4356296173423644</v>
      </c>
      <c r="Z19" s="31">
        <f t="shared" ref="Z19:Z31" si="25">O19*1000000/D$39/1000000</f>
        <v>14.842298070217097</v>
      </c>
      <c r="AA19" s="31">
        <f t="shared" ref="AA19:AA31" si="26">P19*1000000/E$39/1000000</f>
        <v>3.3704588204250761</v>
      </c>
      <c r="AB19" s="31">
        <f t="shared" ref="AB19:AB31" si="27">Q19*1000000/F$39/1000000</f>
        <v>3.0508411855257185</v>
      </c>
      <c r="AC19" s="31">
        <f t="shared" ref="AC19:AC31" si="28">R19*1000000/G$39/1000000</f>
        <v>3.1556790332872318</v>
      </c>
      <c r="AD19" s="31">
        <f t="shared" ref="AD19:AD31" si="29">S19*1000000/H$39/1000000</f>
        <v>3.9148121216605847</v>
      </c>
      <c r="AE19" s="31">
        <f t="shared" ref="AE19:AE31" si="30">T19*1000000/I$39/1000000</f>
        <v>1.1007770109720441</v>
      </c>
      <c r="AF19" s="31">
        <f t="shared" ref="AF19:AF31" si="31">U19*1000000/J$39/1000000</f>
        <v>0.95634583832224984</v>
      </c>
      <c r="AG19" s="31">
        <f t="shared" ref="AG19:AG31" si="32">V19*1000000/K$39/1000000</f>
        <v>1.0803183202596811</v>
      </c>
      <c r="AH19" s="46">
        <f t="shared" si="11"/>
        <v>376.40009311514592</v>
      </c>
      <c r="AI19" s="80">
        <f t="shared" si="22"/>
        <v>38.845481118420629</v>
      </c>
    </row>
    <row r="20" spans="1:35" x14ac:dyDescent="0.25">
      <c r="A20" s="40" t="s">
        <v>63</v>
      </c>
      <c r="B20" s="31">
        <v>1001.8155524605135</v>
      </c>
      <c r="C20" s="31">
        <v>946.86834250342099</v>
      </c>
      <c r="D20" s="31">
        <v>3301.1765542431081</v>
      </c>
      <c r="E20" s="31">
        <v>2733.395684459314</v>
      </c>
      <c r="F20" s="31">
        <v>672.81372006674781</v>
      </c>
      <c r="G20" s="31">
        <v>611.76348195342598</v>
      </c>
      <c r="H20" s="31">
        <v>1110.473268347281</v>
      </c>
      <c r="I20" s="31">
        <v>775.02416650789473</v>
      </c>
      <c r="J20" s="31">
        <v>233.58283697395694</v>
      </c>
      <c r="K20" s="31">
        <v>204.55343855261677</v>
      </c>
      <c r="L20" s="33"/>
      <c r="M20" s="31">
        <f t="shared" si="0"/>
        <v>18.633769275765552</v>
      </c>
      <c r="N20" s="31">
        <f t="shared" si="1"/>
        <v>17.611751170563629</v>
      </c>
      <c r="O20" s="31">
        <f t="shared" si="2"/>
        <v>62.722354530619057</v>
      </c>
      <c r="P20" s="31">
        <f t="shared" si="3"/>
        <v>52.754536710064755</v>
      </c>
      <c r="Q20" s="31">
        <f t="shared" si="4"/>
        <v>12.783460681268208</v>
      </c>
      <c r="R20" s="31">
        <f t="shared" si="5"/>
        <v>11.74585885350578</v>
      </c>
      <c r="S20" s="31">
        <f t="shared" si="6"/>
        <v>20.765850118094153</v>
      </c>
      <c r="T20" s="31">
        <f t="shared" si="7"/>
        <v>14.880463996951578</v>
      </c>
      <c r="U20" s="31">
        <f t="shared" si="8"/>
        <v>4.367999051412994</v>
      </c>
      <c r="V20" s="31">
        <f t="shared" si="9"/>
        <v>3.927426020210242</v>
      </c>
      <c r="W20" s="33"/>
      <c r="X20" s="31">
        <f t="shared" si="23"/>
        <v>1.8483681779714272</v>
      </c>
      <c r="Y20" s="31">
        <f t="shared" si="24"/>
        <v>2.281610463863665</v>
      </c>
      <c r="Z20" s="31">
        <f t="shared" si="25"/>
        <v>6.0130720478016544</v>
      </c>
      <c r="AA20" s="31">
        <f t="shared" si="26"/>
        <v>6.5080849629983657</v>
      </c>
      <c r="AB20" s="31">
        <f t="shared" si="27"/>
        <v>1.2413537270604202</v>
      </c>
      <c r="AC20" s="31">
        <f t="shared" si="28"/>
        <v>1.4741288721769301</v>
      </c>
      <c r="AD20" s="31">
        <f t="shared" si="29"/>
        <v>2.0488436685374189</v>
      </c>
      <c r="AE20" s="31">
        <f t="shared" si="30"/>
        <v>1.867528112067216</v>
      </c>
      <c r="AF20" s="31">
        <f t="shared" si="31"/>
        <v>0.43096464386338917</v>
      </c>
      <c r="AG20" s="31">
        <f t="shared" si="32"/>
        <v>0.49289985193401631</v>
      </c>
      <c r="AH20" s="46">
        <f t="shared" si="11"/>
        <v>220.19347040845597</v>
      </c>
      <c r="AI20" s="80">
        <f t="shared" si="22"/>
        <v>24.206854528274505</v>
      </c>
    </row>
    <row r="21" spans="1:35" x14ac:dyDescent="0.25">
      <c r="A21" s="40" t="s">
        <v>64</v>
      </c>
      <c r="B21" s="31">
        <v>474.69725424480964</v>
      </c>
      <c r="C21" s="31">
        <v>698.56802041282981</v>
      </c>
      <c r="D21" s="31">
        <v>1328.7604072049812</v>
      </c>
      <c r="E21" s="31">
        <v>1699.2890570069353</v>
      </c>
      <c r="F21" s="31">
        <v>522.13501551255729</v>
      </c>
      <c r="G21" s="31">
        <v>609.12316485897827</v>
      </c>
      <c r="H21" s="31">
        <v>376.65134012419617</v>
      </c>
      <c r="I21" s="31">
        <v>642.36710145105087</v>
      </c>
      <c r="J21" s="31">
        <v>150.64812555914727</v>
      </c>
      <c r="K21" s="31">
        <v>265.57849930137536</v>
      </c>
      <c r="L21" s="33"/>
      <c r="M21" s="31">
        <f t="shared" si="0"/>
        <v>8.8293689289534605</v>
      </c>
      <c r="N21" s="31">
        <f t="shared" si="1"/>
        <v>12.993365179678635</v>
      </c>
      <c r="O21" s="31">
        <f t="shared" si="2"/>
        <v>25.246447736894645</v>
      </c>
      <c r="P21" s="31">
        <f t="shared" si="3"/>
        <v>32.79627880023385</v>
      </c>
      <c r="Q21" s="31">
        <f t="shared" si="4"/>
        <v>9.9205652947385889</v>
      </c>
      <c r="R21" s="31">
        <f t="shared" si="5"/>
        <v>11.695164765292382</v>
      </c>
      <c r="S21" s="31">
        <f t="shared" si="6"/>
        <v>7.0433800603224679</v>
      </c>
      <c r="T21" s="31">
        <f t="shared" si="7"/>
        <v>12.333448347860177</v>
      </c>
      <c r="U21" s="31">
        <f t="shared" si="8"/>
        <v>2.8171199479560536</v>
      </c>
      <c r="V21" s="31">
        <f t="shared" si="9"/>
        <v>5.0991071865864068</v>
      </c>
      <c r="W21" s="33"/>
      <c r="X21" s="31">
        <f t="shared" si="23"/>
        <v>0.87582519233359724</v>
      </c>
      <c r="Y21" s="31">
        <f t="shared" si="24"/>
        <v>1.6832964347297101</v>
      </c>
      <c r="Z21" s="31">
        <f t="shared" si="25"/>
        <v>2.4203286105737365</v>
      </c>
      <c r="AA21" s="31">
        <f t="shared" si="26"/>
        <v>4.0459263262069882</v>
      </c>
      <c r="AB21" s="31">
        <f t="shared" si="27"/>
        <v>0.96334873710803937</v>
      </c>
      <c r="AC21" s="31">
        <f t="shared" si="28"/>
        <v>1.467766662310791</v>
      </c>
      <c r="AD21" s="31">
        <f t="shared" si="29"/>
        <v>0.69492867181586016</v>
      </c>
      <c r="AE21" s="31">
        <f t="shared" si="30"/>
        <v>1.5478725336169901</v>
      </c>
      <c r="AF21" s="31">
        <f t="shared" si="31"/>
        <v>0.27794857114233812</v>
      </c>
      <c r="AG21" s="31">
        <f t="shared" si="32"/>
        <v>0.63994819108765155</v>
      </c>
      <c r="AH21" s="46">
        <f t="shared" si="11"/>
        <v>128.77424624851665</v>
      </c>
      <c r="AI21" s="80">
        <f t="shared" si="22"/>
        <v>14.617189930925703</v>
      </c>
    </row>
    <row r="22" spans="1:35" x14ac:dyDescent="0.25">
      <c r="A22" s="40" t="s">
        <v>65</v>
      </c>
      <c r="B22" s="31">
        <v>46.348767685777219</v>
      </c>
      <c r="C22" s="31">
        <v>22.135369695680573</v>
      </c>
      <c r="D22" s="31">
        <v>166.97833682734634</v>
      </c>
      <c r="E22" s="31">
        <v>62.401859517560347</v>
      </c>
      <c r="F22" s="31">
        <v>32.676251318588257</v>
      </c>
      <c r="G22" s="31">
        <v>61.435634845241232</v>
      </c>
      <c r="H22" s="31">
        <v>44.108532178351275</v>
      </c>
      <c r="I22" s="31">
        <v>21.083309481529202</v>
      </c>
      <c r="J22" s="31">
        <v>10.458414429852592</v>
      </c>
      <c r="K22" s="31">
        <v>27.543553378445907</v>
      </c>
      <c r="L22" s="33"/>
      <c r="M22" s="31">
        <f t="shared" si="0"/>
        <v>0.86208707895545622</v>
      </c>
      <c r="N22" s="31">
        <f t="shared" si="1"/>
        <v>0.41171787633965867</v>
      </c>
      <c r="O22" s="31">
        <f t="shared" si="2"/>
        <v>3.1725883997195803</v>
      </c>
      <c r="P22" s="31">
        <f t="shared" si="3"/>
        <v>1.2043558886889147</v>
      </c>
      <c r="Q22" s="31">
        <f t="shared" si="4"/>
        <v>0.62084877505317693</v>
      </c>
      <c r="R22" s="31">
        <f t="shared" si="5"/>
        <v>1.1795641890286317</v>
      </c>
      <c r="S22" s="31">
        <f t="shared" si="6"/>
        <v>0.82482955173516881</v>
      </c>
      <c r="T22" s="31">
        <f t="shared" si="7"/>
        <v>0.40479954204536067</v>
      </c>
      <c r="U22" s="31">
        <f t="shared" si="8"/>
        <v>0.19557234983824345</v>
      </c>
      <c r="V22" s="31">
        <f t="shared" si="9"/>
        <v>0.52883622486616144</v>
      </c>
      <c r="W22" s="33"/>
      <c r="X22" s="31">
        <f t="shared" si="23"/>
        <v>8.5514331523574197E-2</v>
      </c>
      <c r="Y22" s="31">
        <f t="shared" si="24"/>
        <v>5.3338240230555597E-2</v>
      </c>
      <c r="Z22" s="31">
        <f t="shared" si="25"/>
        <v>0.30414997600609528</v>
      </c>
      <c r="AA22" s="31">
        <f t="shared" si="26"/>
        <v>0.14857585599419132</v>
      </c>
      <c r="AB22" s="31">
        <f t="shared" si="27"/>
        <v>6.0288286565660994E-2</v>
      </c>
      <c r="AC22" s="31">
        <f t="shared" si="28"/>
        <v>0.1480376743258825</v>
      </c>
      <c r="AD22" s="31">
        <f t="shared" si="29"/>
        <v>8.13810556796149E-2</v>
      </c>
      <c r="AE22" s="31">
        <f t="shared" si="30"/>
        <v>5.0803155377178798E-2</v>
      </c>
      <c r="AF22" s="31">
        <f t="shared" si="31"/>
        <v>1.929596758275386E-2</v>
      </c>
      <c r="AG22" s="31">
        <f t="shared" si="32"/>
        <v>6.637000814083352E-2</v>
      </c>
      <c r="AH22" s="46">
        <f t="shared" si="11"/>
        <v>9.4051998762703537</v>
      </c>
      <c r="AI22" s="80">
        <f t="shared" si="22"/>
        <v>1.0177545514263409</v>
      </c>
    </row>
    <row r="23" spans="1:35" x14ac:dyDescent="0.25">
      <c r="A23" s="40" t="s">
        <v>66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3"/>
      <c r="M23" s="31">
        <f t="shared" si="0"/>
        <v>0</v>
      </c>
      <c r="N23" s="31">
        <f t="shared" si="1"/>
        <v>0</v>
      </c>
      <c r="O23" s="31">
        <f t="shared" si="2"/>
        <v>0</v>
      </c>
      <c r="P23" s="31">
        <f t="shared" si="3"/>
        <v>0</v>
      </c>
      <c r="Q23" s="31">
        <f t="shared" si="4"/>
        <v>0</v>
      </c>
      <c r="R23" s="31">
        <f t="shared" si="5"/>
        <v>0</v>
      </c>
      <c r="S23" s="31">
        <f t="shared" si="6"/>
        <v>0</v>
      </c>
      <c r="T23" s="31">
        <f t="shared" si="7"/>
        <v>0</v>
      </c>
      <c r="U23" s="31">
        <f t="shared" si="8"/>
        <v>0</v>
      </c>
      <c r="V23" s="31">
        <f t="shared" si="9"/>
        <v>0</v>
      </c>
      <c r="W23" s="33"/>
      <c r="X23" s="31">
        <f t="shared" si="23"/>
        <v>0</v>
      </c>
      <c r="Y23" s="31">
        <f t="shared" si="24"/>
        <v>0</v>
      </c>
      <c r="Z23" s="31">
        <f t="shared" si="25"/>
        <v>0</v>
      </c>
      <c r="AA23" s="31">
        <f t="shared" si="26"/>
        <v>0</v>
      </c>
      <c r="AB23" s="31">
        <f t="shared" si="27"/>
        <v>0</v>
      </c>
      <c r="AC23" s="31">
        <f t="shared" si="28"/>
        <v>0</v>
      </c>
      <c r="AD23" s="31">
        <f t="shared" si="29"/>
        <v>0</v>
      </c>
      <c r="AE23" s="31">
        <f t="shared" si="30"/>
        <v>0</v>
      </c>
      <c r="AF23" s="31">
        <f t="shared" si="31"/>
        <v>0</v>
      </c>
      <c r="AG23" s="31">
        <f t="shared" si="32"/>
        <v>0</v>
      </c>
      <c r="AH23" s="46">
        <f t="shared" si="11"/>
        <v>0</v>
      </c>
      <c r="AI23" s="80">
        <f t="shared" si="22"/>
        <v>0</v>
      </c>
    </row>
    <row r="24" spans="1:35" x14ac:dyDescent="0.25">
      <c r="A24" s="40" t="s">
        <v>67</v>
      </c>
      <c r="B24" s="31">
        <v>41.222610156391802</v>
      </c>
      <c r="C24" s="31">
        <v>63.875427390369175</v>
      </c>
      <c r="D24" s="31">
        <v>192.2022639887216</v>
      </c>
      <c r="E24" s="31">
        <v>168.62507659028864</v>
      </c>
      <c r="F24" s="31">
        <v>212.37027507674026</v>
      </c>
      <c r="G24" s="31">
        <v>181.13634530859525</v>
      </c>
      <c r="H24" s="31">
        <v>28.971423851604328</v>
      </c>
      <c r="I24" s="31">
        <v>34.501826138576746</v>
      </c>
      <c r="J24" s="31">
        <v>38.203698431024627</v>
      </c>
      <c r="K24" s="31">
        <v>67.623072836873845</v>
      </c>
      <c r="L24" s="33"/>
      <c r="M24" s="31">
        <f t="shared" si="0"/>
        <v>0.76674054890888754</v>
      </c>
      <c r="N24" s="31">
        <f t="shared" si="1"/>
        <v>1.1880829494608667</v>
      </c>
      <c r="O24" s="31">
        <f t="shared" si="2"/>
        <v>3.6518430157857105</v>
      </c>
      <c r="P24" s="31">
        <f t="shared" si="3"/>
        <v>3.2544639781925708</v>
      </c>
      <c r="Q24" s="31">
        <f t="shared" si="4"/>
        <v>4.0350352264580653</v>
      </c>
      <c r="R24" s="31">
        <f t="shared" si="5"/>
        <v>3.4778178299250282</v>
      </c>
      <c r="S24" s="31">
        <f t="shared" si="6"/>
        <v>0.54176562602500089</v>
      </c>
      <c r="T24" s="31">
        <f t="shared" si="7"/>
        <v>0.66243506186067358</v>
      </c>
      <c r="U24" s="31">
        <f t="shared" si="8"/>
        <v>0.71440916066016047</v>
      </c>
      <c r="V24" s="31">
        <f t="shared" si="9"/>
        <v>1.2983629984679779</v>
      </c>
      <c r="W24" s="33"/>
      <c r="X24" s="31">
        <f t="shared" si="23"/>
        <v>7.6056476303305892E-2</v>
      </c>
      <c r="Y24" s="31">
        <f t="shared" si="24"/>
        <v>0.15391669250691364</v>
      </c>
      <c r="Z24" s="31">
        <f t="shared" si="25"/>
        <v>0.35009519852226156</v>
      </c>
      <c r="AA24" s="31">
        <f t="shared" si="26"/>
        <v>0.40148827759592531</v>
      </c>
      <c r="AB24" s="31">
        <f t="shared" si="27"/>
        <v>0.39182707578734366</v>
      </c>
      <c r="AC24" s="31">
        <f t="shared" si="28"/>
        <v>0.43647312122553061</v>
      </c>
      <c r="AD24" s="31">
        <f t="shared" si="29"/>
        <v>5.3452811534325337E-2</v>
      </c>
      <c r="AE24" s="31">
        <f t="shared" si="30"/>
        <v>8.3136930454401806E-2</v>
      </c>
      <c r="AF24" s="31">
        <f t="shared" si="31"/>
        <v>7.0486528470525139E-2</v>
      </c>
      <c r="AG24" s="31">
        <f t="shared" si="32"/>
        <v>0.16294716346234661</v>
      </c>
      <c r="AH24" s="46">
        <f t="shared" si="11"/>
        <v>19.590956395744943</v>
      </c>
      <c r="AI24" s="80">
        <f t="shared" si="22"/>
        <v>2.1798802758628799</v>
      </c>
    </row>
    <row r="25" spans="1:35" x14ac:dyDescent="0.25">
      <c r="A25" s="40" t="s">
        <v>68</v>
      </c>
      <c r="B25" s="31">
        <v>1179.346008143337</v>
      </c>
      <c r="C25" s="31">
        <v>4137.6844546498678</v>
      </c>
      <c r="D25" s="31">
        <v>4365.5571872954097</v>
      </c>
      <c r="E25" s="31">
        <v>10715.161910991708</v>
      </c>
      <c r="F25" s="31">
        <v>1429.7695211194114</v>
      </c>
      <c r="G25" s="31">
        <v>3403.7723603322434</v>
      </c>
      <c r="H25" s="31">
        <v>866.59451349624521</v>
      </c>
      <c r="I25" s="31">
        <v>3282.8132253062417</v>
      </c>
      <c r="J25" s="31">
        <v>317.8516702513478</v>
      </c>
      <c r="K25" s="31">
        <v>1564.0019602644279</v>
      </c>
      <c r="L25" s="33"/>
      <c r="M25" s="31">
        <f t="shared" si="0"/>
        <v>21.935835751466069</v>
      </c>
      <c r="N25" s="31">
        <f t="shared" si="1"/>
        <v>76.96093085648755</v>
      </c>
      <c r="O25" s="31">
        <f t="shared" si="2"/>
        <v>82.945586558612774</v>
      </c>
      <c r="P25" s="31">
        <f t="shared" si="3"/>
        <v>206.80262488213998</v>
      </c>
      <c r="Q25" s="31">
        <f t="shared" si="4"/>
        <v>27.165620901268817</v>
      </c>
      <c r="R25" s="31">
        <f t="shared" si="5"/>
        <v>65.35242931837908</v>
      </c>
      <c r="S25" s="31">
        <f t="shared" si="6"/>
        <v>16.205317402379787</v>
      </c>
      <c r="T25" s="31">
        <f t="shared" si="7"/>
        <v>63.030013925879835</v>
      </c>
      <c r="U25" s="31">
        <f t="shared" si="8"/>
        <v>5.9438262337002028</v>
      </c>
      <c r="V25" s="31">
        <f t="shared" si="9"/>
        <v>30.028837637077014</v>
      </c>
      <c r="W25" s="33"/>
      <c r="X25" s="31">
        <f t="shared" si="23"/>
        <v>2.1759151441758982</v>
      </c>
      <c r="Y25" s="31">
        <f t="shared" si="24"/>
        <v>9.9703239871081148</v>
      </c>
      <c r="Z25" s="31">
        <f t="shared" si="25"/>
        <v>7.9518345852375401</v>
      </c>
      <c r="AA25" s="31">
        <f t="shared" si="26"/>
        <v>25.512290264265975</v>
      </c>
      <c r="AB25" s="31">
        <f t="shared" si="27"/>
        <v>2.6379511459767739</v>
      </c>
      <c r="AC25" s="31">
        <f t="shared" si="28"/>
        <v>8.2018611092343221</v>
      </c>
      <c r="AD25" s="31">
        <f t="shared" si="29"/>
        <v>1.5988828662292349</v>
      </c>
      <c r="AE25" s="31">
        <f t="shared" si="30"/>
        <v>7.9103933139909435</v>
      </c>
      <c r="AF25" s="31">
        <f t="shared" si="31"/>
        <v>0.58644219603569703</v>
      </c>
      <c r="AG25" s="31">
        <f t="shared" si="32"/>
        <v>3.7686794223239226</v>
      </c>
      <c r="AH25" s="46">
        <f t="shared" si="11"/>
        <v>596.37102346739107</v>
      </c>
      <c r="AI25" s="80">
        <f t="shared" si="22"/>
        <v>70.314574034578413</v>
      </c>
    </row>
    <row r="26" spans="1:35" x14ac:dyDescent="0.25">
      <c r="A26" s="40" t="s">
        <v>69</v>
      </c>
      <c r="B26" s="31">
        <v>2669.739515081646</v>
      </c>
      <c r="C26" s="31">
        <v>1276.9093056541301</v>
      </c>
      <c r="D26" s="31">
        <v>4945.5789722086392</v>
      </c>
      <c r="E26" s="31">
        <v>2041.5486817694675</v>
      </c>
      <c r="F26" s="31">
        <v>49.091451324208272</v>
      </c>
      <c r="G26" s="31">
        <v>227.2486201453124</v>
      </c>
      <c r="H26" s="31">
        <v>1416.8256320383875</v>
      </c>
      <c r="I26" s="31">
        <v>1071.6382060148171</v>
      </c>
      <c r="J26" s="31">
        <v>25.114574861520513</v>
      </c>
      <c r="K26" s="31">
        <v>120.30306021287203</v>
      </c>
      <c r="L26" s="33"/>
      <c r="M26" s="31">
        <f t="shared" si="0"/>
        <v>49.657154980518612</v>
      </c>
      <c r="N26" s="31">
        <f t="shared" si="1"/>
        <v>23.750513085166819</v>
      </c>
      <c r="O26" s="31">
        <f t="shared" si="2"/>
        <v>93.966000471964136</v>
      </c>
      <c r="P26" s="31">
        <f t="shared" si="3"/>
        <v>39.401889558150728</v>
      </c>
      <c r="Q26" s="31">
        <f t="shared" si="4"/>
        <v>0.93273757515995714</v>
      </c>
      <c r="R26" s="31">
        <f t="shared" si="5"/>
        <v>4.3631735067899982</v>
      </c>
      <c r="S26" s="31">
        <f t="shared" si="6"/>
        <v>26.494639319117848</v>
      </c>
      <c r="T26" s="31">
        <f t="shared" si="7"/>
        <v>20.57545355548449</v>
      </c>
      <c r="U26" s="31">
        <f t="shared" si="8"/>
        <v>0.46964254991043358</v>
      </c>
      <c r="V26" s="31">
        <f t="shared" si="9"/>
        <v>2.309818756087143</v>
      </c>
      <c r="W26" s="33"/>
      <c r="X26" s="31">
        <f t="shared" si="23"/>
        <v>4.9257186625122618</v>
      </c>
      <c r="Y26" s="31">
        <f t="shared" si="24"/>
        <v>3.0768898931424817</v>
      </c>
      <c r="Z26" s="31">
        <f t="shared" si="25"/>
        <v>9.0083405686860463</v>
      </c>
      <c r="AA26" s="31">
        <f t="shared" si="26"/>
        <v>4.8608301946892096</v>
      </c>
      <c r="AB26" s="31">
        <f t="shared" si="27"/>
        <v>9.0574633439498661E-2</v>
      </c>
      <c r="AC26" s="31">
        <f t="shared" si="28"/>
        <v>0.54758703649472862</v>
      </c>
      <c r="AD26" s="31">
        <f t="shared" si="29"/>
        <v>2.6140694318051434</v>
      </c>
      <c r="AE26" s="31">
        <f t="shared" si="30"/>
        <v>2.5822607373851016</v>
      </c>
      <c r="AF26" s="31">
        <f t="shared" si="31"/>
        <v>4.6336853988045233E-2</v>
      </c>
      <c r="AG26" s="31">
        <f t="shared" si="32"/>
        <v>0.28988689207920976</v>
      </c>
      <c r="AH26" s="46">
        <f t="shared" si="11"/>
        <v>261.92102335835017</v>
      </c>
      <c r="AI26" s="80">
        <f t="shared" si="22"/>
        <v>28.04249490422173</v>
      </c>
    </row>
    <row r="27" spans="1:35" x14ac:dyDescent="0.25">
      <c r="A27" s="40" t="s">
        <v>70</v>
      </c>
      <c r="B27" s="31">
        <v>1519.6910229264051</v>
      </c>
      <c r="C27" s="31">
        <v>944.92723915307829</v>
      </c>
      <c r="D27" s="31">
        <v>5658.7694710099231</v>
      </c>
      <c r="E27" s="31">
        <v>3101.8295651613671</v>
      </c>
      <c r="F27" s="31">
        <v>3674.9994574424759</v>
      </c>
      <c r="G27" s="31">
        <v>1885.6702514905949</v>
      </c>
      <c r="H27" s="31">
        <v>1524.1980287414883</v>
      </c>
      <c r="I27" s="31">
        <v>813.29385062866959</v>
      </c>
      <c r="J27" s="31">
        <v>1058.8531563422578</v>
      </c>
      <c r="K27" s="31">
        <v>652.91476184082831</v>
      </c>
      <c r="L27" s="33"/>
      <c r="M27" s="31">
        <f t="shared" si="0"/>
        <v>28.266253026431137</v>
      </c>
      <c r="N27" s="31">
        <f t="shared" si="1"/>
        <v>17.575646648247258</v>
      </c>
      <c r="O27" s="31">
        <f t="shared" si="2"/>
        <v>107.51661994918854</v>
      </c>
      <c r="P27" s="31">
        <f t="shared" si="3"/>
        <v>59.86531060761439</v>
      </c>
      <c r="Q27" s="31">
        <f t="shared" si="4"/>
        <v>69.82498969140704</v>
      </c>
      <c r="R27" s="31">
        <f t="shared" si="5"/>
        <v>36.204868828619425</v>
      </c>
      <c r="S27" s="31">
        <f t="shared" si="6"/>
        <v>28.502503137465826</v>
      </c>
      <c r="T27" s="31">
        <f t="shared" si="7"/>
        <v>15.615241932070456</v>
      </c>
      <c r="U27" s="31">
        <f t="shared" si="8"/>
        <v>19.80055402360022</v>
      </c>
      <c r="V27" s="31">
        <f t="shared" si="9"/>
        <v>12.535963427343903</v>
      </c>
      <c r="W27" s="33"/>
      <c r="X27" s="31">
        <f t="shared" si="23"/>
        <v>2.8038579758789761</v>
      </c>
      <c r="Y27" s="31">
        <f t="shared" si="24"/>
        <v>2.2769331063929594</v>
      </c>
      <c r="Z27" s="31">
        <f t="shared" si="25"/>
        <v>10.307412515500772</v>
      </c>
      <c r="AA27" s="31">
        <f t="shared" si="26"/>
        <v>7.3853084884794464</v>
      </c>
      <c r="AB27" s="31">
        <f t="shared" si="27"/>
        <v>6.7804418033994018</v>
      </c>
      <c r="AC27" s="31">
        <f t="shared" si="28"/>
        <v>4.5437837385315554</v>
      </c>
      <c r="AD27" s="31">
        <f t="shared" si="29"/>
        <v>2.8121734847628934</v>
      </c>
      <c r="AE27" s="31">
        <f t="shared" si="30"/>
        <v>1.9597442183823364</v>
      </c>
      <c r="AF27" s="31">
        <f t="shared" si="31"/>
        <v>1.9536036094875608</v>
      </c>
      <c r="AG27" s="31">
        <f t="shared" si="32"/>
        <v>1.5732885827489838</v>
      </c>
      <c r="AH27" s="46">
        <f t="shared" si="11"/>
        <v>395.70795127198818</v>
      </c>
      <c r="AI27" s="80">
        <f t="shared" si="22"/>
        <v>42.396547523564884</v>
      </c>
    </row>
    <row r="28" spans="1:35" x14ac:dyDescent="0.25">
      <c r="A28" s="40" t="s">
        <v>71</v>
      </c>
      <c r="B28" s="31">
        <v>441.9888520605046</v>
      </c>
      <c r="C28" s="31">
        <v>558.82096514253442</v>
      </c>
      <c r="D28" s="31">
        <v>1364.6934060450776</v>
      </c>
      <c r="E28" s="31">
        <v>1502.736398854116</v>
      </c>
      <c r="F28" s="31">
        <v>1074.1652446667104</v>
      </c>
      <c r="G28" s="31">
        <v>548.35545080287238</v>
      </c>
      <c r="H28" s="31">
        <v>540.72614609270317</v>
      </c>
      <c r="I28" s="31">
        <v>576.64152187678258</v>
      </c>
      <c r="J28" s="31">
        <v>462.59292371993308</v>
      </c>
      <c r="K28" s="31">
        <v>269.65519868823117</v>
      </c>
      <c r="L28" s="33"/>
      <c r="M28" s="31">
        <f t="shared" si="0"/>
        <v>8.2209926483253852</v>
      </c>
      <c r="N28" s="31">
        <f t="shared" si="1"/>
        <v>10.39406995165114</v>
      </c>
      <c r="O28" s="31">
        <f t="shared" si="2"/>
        <v>25.929174714856472</v>
      </c>
      <c r="P28" s="31">
        <f t="shared" si="3"/>
        <v>29.002812497884438</v>
      </c>
      <c r="Q28" s="31">
        <f t="shared" si="4"/>
        <v>20.409139648667495</v>
      </c>
      <c r="R28" s="31">
        <f t="shared" si="5"/>
        <v>10.528424655415149</v>
      </c>
      <c r="S28" s="31">
        <f t="shared" si="6"/>
        <v>10.111578931933551</v>
      </c>
      <c r="T28" s="31">
        <f t="shared" si="7"/>
        <v>11.071517220034224</v>
      </c>
      <c r="U28" s="31">
        <f t="shared" si="8"/>
        <v>8.6504876735627487</v>
      </c>
      <c r="V28" s="31">
        <f t="shared" si="9"/>
        <v>5.1773798148140386</v>
      </c>
      <c r="W28" s="33"/>
      <c r="X28" s="31">
        <f t="shared" si="23"/>
        <v>0.81547758682749916</v>
      </c>
      <c r="Y28" s="31">
        <f t="shared" si="24"/>
        <v>1.3465565425121309</v>
      </c>
      <c r="Z28" s="31">
        <f t="shared" si="25"/>
        <v>2.4857803388799229</v>
      </c>
      <c r="AA28" s="31">
        <f t="shared" si="26"/>
        <v>3.5779438067955143</v>
      </c>
      <c r="AB28" s="31">
        <f t="shared" si="27"/>
        <v>1.9818546949570299</v>
      </c>
      <c r="AC28" s="31">
        <f t="shared" si="28"/>
        <v>1.3213384356695719</v>
      </c>
      <c r="AD28" s="31">
        <f t="shared" si="29"/>
        <v>0.99764971603819796</v>
      </c>
      <c r="AE28" s="31">
        <f t="shared" si="30"/>
        <v>1.3894976430765842</v>
      </c>
      <c r="AF28" s="31">
        <f t="shared" si="31"/>
        <v>0.85349247918806859</v>
      </c>
      <c r="AG28" s="31">
        <f t="shared" si="32"/>
        <v>0.6497715631041715</v>
      </c>
      <c r="AH28" s="46">
        <f t="shared" si="11"/>
        <v>139.49557775714462</v>
      </c>
      <c r="AI28" s="80">
        <f t="shared" si="22"/>
        <v>15.419362807048691</v>
      </c>
    </row>
    <row r="29" spans="1:35" x14ac:dyDescent="0.25">
      <c r="A29" s="40" t="s">
        <v>72</v>
      </c>
      <c r="B29" s="31">
        <v>293.70917606609743</v>
      </c>
      <c r="C29" s="31">
        <v>644.22723732701945</v>
      </c>
      <c r="D29" s="31">
        <v>1159.6548055147482</v>
      </c>
      <c r="E29" s="31">
        <v>1562.4731245972648</v>
      </c>
      <c r="F29" s="31">
        <v>480.49745474447371</v>
      </c>
      <c r="G29" s="31">
        <v>462.27095155766102</v>
      </c>
      <c r="H29" s="31">
        <v>240.33255067307749</v>
      </c>
      <c r="I29" s="31">
        <v>405.17744423101459</v>
      </c>
      <c r="J29" s="31">
        <v>117.23083237329918</v>
      </c>
      <c r="K29" s="31">
        <v>161.40521231897645</v>
      </c>
      <c r="L29" s="33"/>
      <c r="M29" s="31">
        <f t="shared" si="0"/>
        <v>5.4629906748294124</v>
      </c>
      <c r="N29" s="31">
        <f t="shared" si="1"/>
        <v>11.982626614282562</v>
      </c>
      <c r="O29" s="31">
        <f t="shared" si="2"/>
        <v>22.033441304780212</v>
      </c>
      <c r="P29" s="31">
        <f t="shared" si="3"/>
        <v>30.155731304727212</v>
      </c>
      <c r="Q29" s="31">
        <f t="shared" si="4"/>
        <v>9.1294516401449997</v>
      </c>
      <c r="R29" s="31">
        <f t="shared" si="5"/>
        <v>8.8756022699070911</v>
      </c>
      <c r="S29" s="31">
        <f t="shared" si="6"/>
        <v>4.4942186975865486</v>
      </c>
      <c r="T29" s="31">
        <f t="shared" si="7"/>
        <v>7.7794069292354804</v>
      </c>
      <c r="U29" s="31">
        <f t="shared" si="8"/>
        <v>2.1922165653806944</v>
      </c>
      <c r="V29" s="31">
        <f t="shared" si="9"/>
        <v>3.0989800765243478</v>
      </c>
      <c r="W29" s="33"/>
      <c r="X29" s="31">
        <f>M29*1000000/B$39/1000000</f>
        <v>0.54189884883043804</v>
      </c>
      <c r="Y29" s="31">
        <f t="shared" si="24"/>
        <v>1.5523547887398055</v>
      </c>
      <c r="Z29" s="31">
        <f t="shared" si="25"/>
        <v>2.1123038351816903</v>
      </c>
      <c r="AA29" s="31">
        <f t="shared" si="26"/>
        <v>3.7201741061839639</v>
      </c>
      <c r="AB29" s="31">
        <f t="shared" si="27"/>
        <v>0.88652666927024659</v>
      </c>
      <c r="AC29" s="31">
        <f t="shared" si="28"/>
        <v>1.1139059073678579</v>
      </c>
      <c r="AD29" s="31">
        <f t="shared" si="29"/>
        <v>0.44341799017172973</v>
      </c>
      <c r="AE29" s="31">
        <f t="shared" si="30"/>
        <v>0.97633119091810749</v>
      </c>
      <c r="AF29" s="31">
        <f t="shared" si="31"/>
        <v>0.21629304865922358</v>
      </c>
      <c r="AG29" s="31">
        <f t="shared" si="32"/>
        <v>0.38892822245536496</v>
      </c>
      <c r="AH29" s="46">
        <f t="shared" si="11"/>
        <v>105.20466607739854</v>
      </c>
      <c r="AI29" s="80">
        <f t="shared" si="22"/>
        <v>11.952134607778428</v>
      </c>
    </row>
    <row r="30" spans="1:35" x14ac:dyDescent="0.25">
      <c r="A30" s="40" t="s">
        <v>73</v>
      </c>
      <c r="B30" s="31">
        <v>1500.1835680929912</v>
      </c>
      <c r="C30" s="31">
        <v>2392.3271918144155</v>
      </c>
      <c r="D30" s="31">
        <v>2270.180354442833</v>
      </c>
      <c r="E30" s="31">
        <v>4185.1252229195479</v>
      </c>
      <c r="F30" s="31">
        <v>792.03512341097758</v>
      </c>
      <c r="G30" s="31">
        <v>2560.1119231848538</v>
      </c>
      <c r="H30" s="31">
        <v>962.42254353507917</v>
      </c>
      <c r="I30" s="31">
        <v>1654.2466748032621</v>
      </c>
      <c r="J30" s="31">
        <v>318.5041393903939</v>
      </c>
      <c r="K30" s="31">
        <v>1203.2256264635921</v>
      </c>
      <c r="L30" s="33"/>
      <c r="M30" s="31">
        <f t="shared" si="0"/>
        <v>27.903414366529635</v>
      </c>
      <c r="N30" s="31">
        <f t="shared" si="1"/>
        <v>44.497285767748131</v>
      </c>
      <c r="O30" s="31">
        <f t="shared" si="2"/>
        <v>43.133426734413824</v>
      </c>
      <c r="P30" s="31">
        <f t="shared" si="3"/>
        <v>80.772916802347268</v>
      </c>
      <c r="Q30" s="31">
        <f t="shared" si="4"/>
        <v>15.048667344808575</v>
      </c>
      <c r="R30" s="31">
        <f t="shared" si="5"/>
        <v>49.154148925149194</v>
      </c>
      <c r="S30" s="31">
        <f t="shared" si="6"/>
        <v>17.997301564105978</v>
      </c>
      <c r="T30" s="31">
        <f t="shared" si="7"/>
        <v>31.761536156222629</v>
      </c>
      <c r="U30" s="31">
        <f t="shared" si="8"/>
        <v>5.9560274066003656</v>
      </c>
      <c r="V30" s="31">
        <f t="shared" si="9"/>
        <v>23.101932028100968</v>
      </c>
      <c r="W30" s="33"/>
      <c r="X30" s="31">
        <f t="shared" ref="X30:X31" si="33">M30*1000000/B$39/1000000</f>
        <v>2.7678663617951864</v>
      </c>
      <c r="Y30" s="31">
        <f t="shared" si="24"/>
        <v>5.7646438356973864</v>
      </c>
      <c r="Z30" s="31">
        <f t="shared" si="25"/>
        <v>4.1351190427009712</v>
      </c>
      <c r="AA30" s="31">
        <f t="shared" si="26"/>
        <v>9.9645838640941626</v>
      </c>
      <c r="AB30" s="31">
        <f t="shared" si="27"/>
        <v>1.4613194158874125</v>
      </c>
      <c r="AC30" s="31">
        <f t="shared" si="28"/>
        <v>6.168944393216516</v>
      </c>
      <c r="AD30" s="31">
        <f t="shared" si="29"/>
        <v>1.775687349695718</v>
      </c>
      <c r="AE30" s="31">
        <f t="shared" si="30"/>
        <v>3.9861365657909928</v>
      </c>
      <c r="AF30" s="31">
        <f t="shared" si="31"/>
        <v>0.58764601363541313</v>
      </c>
      <c r="AG30" s="31">
        <f t="shared" si="32"/>
        <v>2.8993388589484148</v>
      </c>
      <c r="AH30" s="46">
        <f t="shared" si="11"/>
        <v>339.32665709602651</v>
      </c>
      <c r="AI30" s="80">
        <f t="shared" si="22"/>
        <v>39.511285701462171</v>
      </c>
    </row>
    <row r="31" spans="1:35" s="4" customFormat="1" ht="15.75" thickBot="1" x14ac:dyDescent="0.3">
      <c r="A31" s="39" t="s">
        <v>74</v>
      </c>
      <c r="B31" s="38">
        <v>1541.1326439658744</v>
      </c>
      <c r="C31" s="38">
        <v>7702.7908471160054</v>
      </c>
      <c r="D31" s="38">
        <v>3028.3270022561355</v>
      </c>
      <c r="E31" s="38">
        <v>19304.161981054771</v>
      </c>
      <c r="F31" s="38">
        <v>2540.8023940364887</v>
      </c>
      <c r="G31" s="38">
        <v>12921.591474091842</v>
      </c>
      <c r="H31" s="38">
        <v>749.81655358298929</v>
      </c>
      <c r="I31" s="38">
        <v>5486.6957689225555</v>
      </c>
      <c r="J31" s="38">
        <v>715.64633677744303</v>
      </c>
      <c r="K31" s="38">
        <v>4561.3513412302118</v>
      </c>
      <c r="L31" s="35"/>
      <c r="M31" s="38">
        <f t="shared" si="0"/>
        <v>28.665067177765266</v>
      </c>
      <c r="N31" s="38">
        <f t="shared" si="1"/>
        <v>143.2719097563577</v>
      </c>
      <c r="O31" s="38">
        <f t="shared" si="2"/>
        <v>57.53821304286658</v>
      </c>
      <c r="P31" s="38">
        <f t="shared" si="3"/>
        <v>372.57032623435714</v>
      </c>
      <c r="Q31" s="38">
        <f t="shared" si="4"/>
        <v>48.275245486693287</v>
      </c>
      <c r="R31" s="38">
        <f t="shared" si="5"/>
        <v>248.09455630256332</v>
      </c>
      <c r="S31" s="38">
        <f t="shared" si="6"/>
        <v>14.0215695520019</v>
      </c>
      <c r="T31" s="38">
        <f t="shared" si="7"/>
        <v>105.34455876331306</v>
      </c>
      <c r="U31" s="38">
        <f t="shared" si="8"/>
        <v>13.382586497738185</v>
      </c>
      <c r="V31" s="38">
        <f t="shared" si="9"/>
        <v>87.577945751620078</v>
      </c>
      <c r="W31" s="35"/>
      <c r="X31" s="38">
        <f t="shared" si="33"/>
        <v>2.8434181622986614</v>
      </c>
      <c r="Y31" s="38">
        <f t="shared" si="24"/>
        <v>18.560941800279529</v>
      </c>
      <c r="Z31" s="38">
        <f t="shared" si="25"/>
        <v>5.5160783283354027</v>
      </c>
      <c r="AA31" s="38">
        <f t="shared" si="26"/>
        <v>45.962290431082792</v>
      </c>
      <c r="AB31" s="38">
        <f t="shared" si="27"/>
        <v>4.6878272952702744</v>
      </c>
      <c r="AC31" s="38">
        <f t="shared" si="28"/>
        <v>31.136364997811661</v>
      </c>
      <c r="AD31" s="38">
        <f t="shared" si="29"/>
        <v>1.3834253756143713</v>
      </c>
      <c r="AE31" s="38">
        <f t="shared" si="30"/>
        <v>13.220953660054349</v>
      </c>
      <c r="AF31" s="38">
        <f t="shared" si="31"/>
        <v>1.3203806951613342</v>
      </c>
      <c r="AG31" s="38">
        <f t="shared" si="32"/>
        <v>10.991208051157139</v>
      </c>
      <c r="AH31" s="47">
        <f t="shared" si="11"/>
        <v>1118.7419785652764</v>
      </c>
      <c r="AI31" s="81">
        <f t="shared" si="22"/>
        <v>135.62288879706549</v>
      </c>
    </row>
    <row r="32" spans="1:35" x14ac:dyDescent="0.25">
      <c r="A32" s="37" t="s">
        <v>98</v>
      </c>
      <c r="B32" s="32">
        <f t="shared" ref="B32:K32" si="34">SUM(B4:B31)</f>
        <v>26542.769987420223</v>
      </c>
      <c r="C32" s="32">
        <f t="shared" si="34"/>
        <v>42409.153628562861</v>
      </c>
      <c r="D32" s="32">
        <f t="shared" si="34"/>
        <v>80570.389754963675</v>
      </c>
      <c r="E32" s="32">
        <f t="shared" si="34"/>
        <v>109246.71438410727</v>
      </c>
      <c r="F32" s="32">
        <f t="shared" si="34"/>
        <v>37957.975926256317</v>
      </c>
      <c r="G32" s="32">
        <f t="shared" si="34"/>
        <v>58958.873517329383</v>
      </c>
      <c r="H32" s="32">
        <f t="shared" si="34"/>
        <v>22348.738130415917</v>
      </c>
      <c r="I32" s="32">
        <f t="shared" si="34"/>
        <v>34051.548627706201</v>
      </c>
      <c r="J32" s="32">
        <f t="shared" si="34"/>
        <v>11808.74214917594</v>
      </c>
      <c r="K32" s="32">
        <f t="shared" si="34"/>
        <v>23908.724904195755</v>
      </c>
      <c r="L32" s="33"/>
      <c r="M32" s="32">
        <f t="shared" ref="M32:AH32" si="35">SUM(M4:M31)</f>
        <v>493.69552176601616</v>
      </c>
      <c r="N32" s="32">
        <f t="shared" si="35"/>
        <v>788.81025749126923</v>
      </c>
      <c r="O32" s="32">
        <f t="shared" si="35"/>
        <v>1530.8374053443099</v>
      </c>
      <c r="P32" s="32">
        <f t="shared" si="35"/>
        <v>2108.4615876132707</v>
      </c>
      <c r="Q32" s="32">
        <f t="shared" si="35"/>
        <v>721.20154259886999</v>
      </c>
      <c r="R32" s="32">
        <f t="shared" si="35"/>
        <v>1132.0103715327236</v>
      </c>
      <c r="S32" s="32">
        <f t="shared" si="35"/>
        <v>417.9214030387775</v>
      </c>
      <c r="T32" s="32">
        <f t="shared" si="35"/>
        <v>653.78973365195907</v>
      </c>
      <c r="U32" s="32">
        <f t="shared" si="35"/>
        <v>220.82347818958999</v>
      </c>
      <c r="V32" s="32">
        <f t="shared" si="35"/>
        <v>459.04751816055864</v>
      </c>
      <c r="W32" s="33"/>
      <c r="X32" s="32">
        <f t="shared" ref="X32:AG32" si="36">SUM(X4:X31)</f>
        <v>48.971900345793763</v>
      </c>
      <c r="Y32" s="32">
        <f t="shared" si="36"/>
        <v>102.19073163509123</v>
      </c>
      <c r="Z32" s="32">
        <f t="shared" si="36"/>
        <v>146.75845128408685</v>
      </c>
      <c r="AA32" s="32">
        <f t="shared" si="36"/>
        <v>260.11122472406493</v>
      </c>
      <c r="AB32" s="32">
        <f t="shared" si="36"/>
        <v>70.033165915602041</v>
      </c>
      <c r="AC32" s="32">
        <f t="shared" si="36"/>
        <v>142.06957474055272</v>
      </c>
      <c r="AD32" s="32">
        <f t="shared" si="36"/>
        <v>41.233834188959257</v>
      </c>
      <c r="AE32" s="32">
        <f t="shared" si="36"/>
        <v>82.051924404111318</v>
      </c>
      <c r="AF32" s="32">
        <f t="shared" si="36"/>
        <v>21.787347138700994</v>
      </c>
      <c r="AG32" s="32">
        <f t="shared" si="36"/>
        <v>57.611385311315097</v>
      </c>
      <c r="AH32" s="32">
        <f t="shared" si="35"/>
        <v>8526.5988193873454</v>
      </c>
      <c r="AI32" s="32">
        <f>SUM(AI4:AI31)</f>
        <v>972.81953968827816</v>
      </c>
    </row>
    <row r="33" spans="1:35" s="30" customFormat="1" ht="30" x14ac:dyDescent="0.25">
      <c r="A33" s="82" t="s">
        <v>130</v>
      </c>
      <c r="B33" s="32"/>
      <c r="C33" s="32"/>
      <c r="D33" s="32"/>
      <c r="E33" s="32">
        <f>E32*0.7</f>
        <v>76472.700068875085</v>
      </c>
      <c r="F33" s="32">
        <f t="shared" ref="F33:M33" si="37">F32*0.7</f>
        <v>26570.583148379421</v>
      </c>
      <c r="G33" s="32">
        <f t="shared" si="37"/>
        <v>41271.211462130566</v>
      </c>
      <c r="H33" s="32">
        <f t="shared" si="37"/>
        <v>15644.116691291141</v>
      </c>
      <c r="I33" s="32">
        <f t="shared" si="37"/>
        <v>23836.08403939434</v>
      </c>
      <c r="J33" s="32">
        <f t="shared" si="37"/>
        <v>8266.1195044231572</v>
      </c>
      <c r="K33" s="32">
        <f t="shared" si="37"/>
        <v>16736.107432937028</v>
      </c>
      <c r="L33" s="33"/>
      <c r="M33" s="32">
        <f t="shared" si="37"/>
        <v>345.58686523621128</v>
      </c>
      <c r="N33" s="32">
        <f t="shared" ref="N33" si="38">N32*0.7</f>
        <v>552.16718024388842</v>
      </c>
      <c r="O33" s="32">
        <f t="shared" ref="O33" si="39">O32*0.7</f>
        <v>1071.5861837410168</v>
      </c>
      <c r="P33" s="32">
        <f t="shared" ref="P33" si="40">P32*0.7</f>
        <v>1475.9231113292894</v>
      </c>
      <c r="Q33" s="32">
        <f t="shared" ref="Q33" si="41">Q32*0.7</f>
        <v>504.84107981920897</v>
      </c>
      <c r="R33" s="32">
        <f t="shared" ref="R33" si="42">R32*0.7</f>
        <v>792.40726007290652</v>
      </c>
      <c r="S33" s="32">
        <f t="shared" ref="S33" si="43">S32*0.7</f>
        <v>292.54498212714424</v>
      </c>
      <c r="T33" s="32">
        <f t="shared" ref="T33" si="44">T32*0.7</f>
        <v>457.65281355637131</v>
      </c>
      <c r="U33" s="32">
        <f t="shared" ref="U33" si="45">U32*0.7</f>
        <v>154.57643473271298</v>
      </c>
      <c r="V33" s="32">
        <f t="shared" ref="V33" si="46">V32*0.7</f>
        <v>321.33326271239105</v>
      </c>
      <c r="W33" s="33"/>
      <c r="X33" s="32">
        <f t="shared" ref="X33:AG33" si="47">X32*0.7</f>
        <v>34.280330242055634</v>
      </c>
      <c r="Y33" s="32">
        <f t="shared" si="47"/>
        <v>71.533512144563858</v>
      </c>
      <c r="Z33" s="32">
        <f t="shared" si="47"/>
        <v>102.73091589886079</v>
      </c>
      <c r="AA33" s="32">
        <f t="shared" si="47"/>
        <v>182.07785730684543</v>
      </c>
      <c r="AB33" s="32">
        <f t="shared" si="47"/>
        <v>49.023216140921427</v>
      </c>
      <c r="AC33" s="32">
        <f t="shared" si="47"/>
        <v>99.448702318386907</v>
      </c>
      <c r="AD33" s="32">
        <f t="shared" si="47"/>
        <v>28.863683932271478</v>
      </c>
      <c r="AE33" s="32">
        <f t="shared" si="47"/>
        <v>57.436347082877916</v>
      </c>
      <c r="AF33" s="32">
        <f t="shared" si="47"/>
        <v>15.251142997090694</v>
      </c>
      <c r="AG33" s="32">
        <f t="shared" si="47"/>
        <v>40.327969717920567</v>
      </c>
      <c r="AH33" s="32">
        <f t="shared" ref="AH33" si="48">AH32*0.7</f>
        <v>5968.6191735711418</v>
      </c>
      <c r="AI33" s="32">
        <f t="shared" ref="AI33" si="49">AI32*0.7</f>
        <v>680.97367778179466</v>
      </c>
    </row>
    <row r="34" spans="1:35" x14ac:dyDescent="0.25">
      <c r="X34" s="31"/>
      <c r="Z34" s="31"/>
      <c r="AA34" s="31"/>
      <c r="AB34" s="31"/>
      <c r="AD34" s="31"/>
    </row>
    <row r="35" spans="1:35" x14ac:dyDescent="0.25">
      <c r="A35" s="209" t="s">
        <v>100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</row>
    <row r="36" spans="1:35" ht="171" x14ac:dyDescent="0.25">
      <c r="A36" s="48"/>
      <c r="B36" s="49" t="s">
        <v>86</v>
      </c>
      <c r="C36" s="49" t="s">
        <v>87</v>
      </c>
      <c r="D36" s="49" t="s">
        <v>88</v>
      </c>
      <c r="E36" s="49" t="s">
        <v>89</v>
      </c>
      <c r="F36" s="49" t="s">
        <v>90</v>
      </c>
      <c r="G36" s="49" t="s">
        <v>91</v>
      </c>
      <c r="H36" s="49" t="s">
        <v>92</v>
      </c>
      <c r="I36" s="49" t="s">
        <v>93</v>
      </c>
      <c r="J36" s="49" t="s">
        <v>94</v>
      </c>
      <c r="K36" s="49" t="s">
        <v>95</v>
      </c>
    </row>
    <row r="37" spans="1:35" ht="17.25" x14ac:dyDescent="0.25">
      <c r="A37" s="109" t="s">
        <v>233</v>
      </c>
      <c r="B37">
        <v>18.600000000000001</v>
      </c>
      <c r="C37">
        <v>18.600000000000001</v>
      </c>
      <c r="D37">
        <v>19</v>
      </c>
      <c r="E37">
        <v>19.3</v>
      </c>
      <c r="F37">
        <v>19</v>
      </c>
      <c r="G37">
        <v>19.2</v>
      </c>
      <c r="H37">
        <v>18.7</v>
      </c>
      <c r="I37">
        <v>19.2</v>
      </c>
      <c r="J37">
        <v>18.7</v>
      </c>
      <c r="K37">
        <v>19.2</v>
      </c>
    </row>
    <row r="38" spans="1:35" ht="17.25" x14ac:dyDescent="0.25">
      <c r="A38" s="204" t="s">
        <v>277</v>
      </c>
      <c r="B38" s="204">
        <f>AVERAGE(B37:K37)</f>
        <v>18.949999999999996</v>
      </c>
    </row>
    <row r="39" spans="1:35" ht="17.25" x14ac:dyDescent="0.25">
      <c r="A39" t="s">
        <v>230</v>
      </c>
      <c r="B39" s="1">
        <v>10.081200000000001</v>
      </c>
      <c r="C39" s="1">
        <v>7.7190000000000012</v>
      </c>
      <c r="D39" s="1">
        <v>10.430999999999999</v>
      </c>
      <c r="E39" s="1">
        <v>8.1059999999999999</v>
      </c>
      <c r="F39" s="1">
        <v>10.298</v>
      </c>
      <c r="G39" s="1">
        <v>7.968</v>
      </c>
      <c r="H39" s="1">
        <v>10.135399999999999</v>
      </c>
      <c r="I39" s="1">
        <v>7.968</v>
      </c>
      <c r="J39" s="1">
        <v>10.135399999999999</v>
      </c>
      <c r="K39" s="1">
        <v>7.968</v>
      </c>
    </row>
    <row r="40" spans="1:35" ht="17.25" x14ac:dyDescent="0.25">
      <c r="A40" s="204" t="s">
        <v>278</v>
      </c>
      <c r="B40" s="205">
        <f>AVERAGE(B39:K39)</f>
        <v>9.0810000000000013</v>
      </c>
    </row>
  </sheetData>
  <sheetProtection algorithmName="SHA-512" hashValue="NpSvnW4Dk+E80xStjwrXqDltPqZJltRyzwY1uu0ZFV957e1yO710QqiRZsXslwtT1BNnR2kl8g1kv9RuTVIP7w==" saltValue="saze4ljuz3JdyqQJhKzkTQ==" spinCount="100000" sheet="1" objects="1" scenarios="1"/>
  <mergeCells count="5">
    <mergeCell ref="B2:K2"/>
    <mergeCell ref="A35:K35"/>
    <mergeCell ref="M2:V2"/>
    <mergeCell ref="X2:AG2"/>
    <mergeCell ref="B1:R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43"/>
  <sheetViews>
    <sheetView zoomScaleNormal="100" workbookViewId="0">
      <selection activeCell="H26" sqref="H26"/>
    </sheetView>
  </sheetViews>
  <sheetFormatPr defaultRowHeight="15" x14ac:dyDescent="0.25"/>
  <cols>
    <col min="1" max="1" width="30.5703125" style="43" customWidth="1"/>
    <col min="2" max="2" width="16" style="43" customWidth="1"/>
    <col min="3" max="5" width="16" customWidth="1"/>
    <col min="6" max="6" width="4.7109375" customWidth="1"/>
    <col min="7" max="10" width="15.5703125" customWidth="1"/>
  </cols>
  <sheetData>
    <row r="1" spans="1:11" s="100" customFormat="1" x14ac:dyDescent="0.25">
      <c r="A1" s="126" t="s">
        <v>205</v>
      </c>
      <c r="B1" s="122" t="s">
        <v>204</v>
      </c>
      <c r="C1" s="123"/>
      <c r="D1" s="123"/>
      <c r="E1" s="123"/>
      <c r="F1" s="123"/>
      <c r="G1" s="123"/>
      <c r="H1" s="123"/>
      <c r="I1" s="123"/>
      <c r="J1" s="123"/>
      <c r="K1" s="123"/>
    </row>
    <row r="2" spans="1:11" ht="30.75" thickBot="1" x14ac:dyDescent="0.3">
      <c r="A2" s="58"/>
      <c r="B2" s="59" t="s">
        <v>113</v>
      </c>
      <c r="C2" s="59" t="s">
        <v>115</v>
      </c>
      <c r="D2" s="59" t="s">
        <v>116</v>
      </c>
      <c r="E2" s="59" t="s">
        <v>117</v>
      </c>
      <c r="F2" s="33"/>
      <c r="G2" s="59" t="s">
        <v>113</v>
      </c>
      <c r="H2" s="59" t="s">
        <v>115</v>
      </c>
      <c r="I2" s="59" t="s">
        <v>119</v>
      </c>
      <c r="J2" s="59" t="s">
        <v>117</v>
      </c>
    </row>
    <row r="3" spans="1:11" s="30" customFormat="1" ht="15.75" thickTop="1" x14ac:dyDescent="0.25">
      <c r="A3" s="56" t="s">
        <v>102</v>
      </c>
      <c r="B3" s="52">
        <v>42871.486956018518</v>
      </c>
      <c r="C3" s="52">
        <v>42871.486956018518</v>
      </c>
      <c r="D3" s="52">
        <v>42871.486956018518</v>
      </c>
      <c r="E3" s="53">
        <v>42871.486956018518</v>
      </c>
      <c r="F3" s="33"/>
      <c r="G3" s="50"/>
      <c r="H3" s="50"/>
      <c r="I3" s="50"/>
      <c r="J3" s="50"/>
    </row>
    <row r="4" spans="1:11" s="30" customFormat="1" x14ac:dyDescent="0.25">
      <c r="A4" s="56" t="s">
        <v>103</v>
      </c>
      <c r="B4" s="52">
        <v>42940.462256481478</v>
      </c>
      <c r="C4" s="52">
        <v>42940.439482060188</v>
      </c>
      <c r="D4" s="52">
        <v>42940.442503148151</v>
      </c>
      <c r="E4" s="53">
        <v>42940.434011423611</v>
      </c>
      <c r="F4" s="33"/>
      <c r="G4" s="50"/>
      <c r="H4" s="50"/>
      <c r="I4" s="50"/>
      <c r="J4" s="50"/>
    </row>
    <row r="5" spans="1:11" s="30" customFormat="1" x14ac:dyDescent="0.25">
      <c r="A5" s="56" t="s">
        <v>104</v>
      </c>
      <c r="B5" s="51" t="s">
        <v>108</v>
      </c>
      <c r="C5" s="51" t="s">
        <v>108</v>
      </c>
      <c r="D5" s="51" t="s">
        <v>108</v>
      </c>
      <c r="E5" s="51" t="s">
        <v>108</v>
      </c>
      <c r="F5" s="33"/>
      <c r="G5" s="51" t="s">
        <v>99</v>
      </c>
      <c r="H5" s="51" t="s">
        <v>99</v>
      </c>
      <c r="I5" s="51" t="s">
        <v>99</v>
      </c>
      <c r="J5" s="51" t="s">
        <v>99</v>
      </c>
    </row>
    <row r="6" spans="1:11" s="30" customFormat="1" x14ac:dyDescent="0.25">
      <c r="A6" s="56" t="s">
        <v>105</v>
      </c>
      <c r="B6" s="51" t="s">
        <v>109</v>
      </c>
      <c r="C6" s="51" t="s">
        <v>109</v>
      </c>
      <c r="D6" s="51" t="s">
        <v>109</v>
      </c>
      <c r="E6" s="51" t="s">
        <v>109</v>
      </c>
      <c r="F6" s="33"/>
      <c r="G6" s="50"/>
      <c r="H6" s="50"/>
      <c r="I6" s="50"/>
      <c r="J6" s="50"/>
    </row>
    <row r="7" spans="1:11" s="30" customFormat="1" x14ac:dyDescent="0.25">
      <c r="A7" s="56" t="s">
        <v>106</v>
      </c>
      <c r="B7" s="51" t="s">
        <v>110</v>
      </c>
      <c r="C7" s="51" t="s">
        <v>110</v>
      </c>
      <c r="D7" s="51" t="s">
        <v>110</v>
      </c>
      <c r="E7" s="51" t="s">
        <v>110</v>
      </c>
      <c r="F7" s="33"/>
      <c r="G7" s="50"/>
      <c r="H7" s="50"/>
      <c r="I7" s="50"/>
      <c r="J7" s="50"/>
    </row>
    <row r="8" spans="1:11" s="30" customFormat="1" x14ac:dyDescent="0.25">
      <c r="A8" s="56" t="s">
        <v>107</v>
      </c>
      <c r="B8" s="51" t="s">
        <v>111</v>
      </c>
      <c r="C8" s="51" t="s">
        <v>111</v>
      </c>
      <c r="D8" s="51" t="s">
        <v>111</v>
      </c>
      <c r="E8" s="51" t="s">
        <v>111</v>
      </c>
      <c r="F8" s="33"/>
      <c r="G8" s="50"/>
      <c r="H8" s="50"/>
      <c r="I8" s="50"/>
      <c r="J8" s="50"/>
    </row>
    <row r="9" spans="1:11" s="30" customFormat="1" x14ac:dyDescent="0.25">
      <c r="A9" s="56" t="s">
        <v>114</v>
      </c>
      <c r="B9" s="51" t="s">
        <v>112</v>
      </c>
      <c r="C9" s="51" t="s">
        <v>81</v>
      </c>
      <c r="D9" s="51" t="s">
        <v>118</v>
      </c>
      <c r="E9" s="51" t="s">
        <v>85</v>
      </c>
      <c r="F9" s="33"/>
      <c r="G9" s="50"/>
      <c r="H9" s="50"/>
      <c r="I9" s="50"/>
      <c r="J9" s="50"/>
    </row>
    <row r="10" spans="1:11" s="30" customFormat="1" ht="15.75" thickBot="1" x14ac:dyDescent="0.3">
      <c r="A10" s="36"/>
      <c r="B10" s="60" t="s">
        <v>82</v>
      </c>
      <c r="C10" s="60" t="s">
        <v>80</v>
      </c>
      <c r="D10" s="60" t="s">
        <v>83</v>
      </c>
      <c r="E10" s="60" t="s">
        <v>84</v>
      </c>
      <c r="F10" s="35"/>
      <c r="G10" s="61"/>
      <c r="H10" s="61"/>
      <c r="I10" s="61"/>
      <c r="J10" s="61"/>
    </row>
    <row r="11" spans="1:11" x14ac:dyDescent="0.25">
      <c r="A11" s="57" t="s">
        <v>44</v>
      </c>
      <c r="B11" s="55">
        <v>4458248</v>
      </c>
      <c r="C11" s="55">
        <v>1118574</v>
      </c>
      <c r="D11" s="55">
        <v>4090849</v>
      </c>
      <c r="E11" s="55">
        <v>579150</v>
      </c>
      <c r="F11" s="33"/>
      <c r="G11" s="2">
        <f>B11*B$43/1000000</f>
        <v>53.053151200000002</v>
      </c>
      <c r="H11" s="2">
        <f t="shared" ref="H11:J11" si="0">C11*C$43/1000000</f>
        <v>6.7114440000000002</v>
      </c>
      <c r="I11" s="2">
        <f>D11*D$43/1000000*0.6</f>
        <v>27.98140716</v>
      </c>
      <c r="J11" s="2">
        <f t="shared" si="0"/>
        <v>6.2548199999999996</v>
      </c>
    </row>
    <row r="12" spans="1:11" x14ac:dyDescent="0.25">
      <c r="A12" s="57" t="s">
        <v>47</v>
      </c>
      <c r="B12" s="55">
        <v>321569</v>
      </c>
      <c r="C12" s="55">
        <v>86872</v>
      </c>
      <c r="D12" s="55">
        <v>2774844</v>
      </c>
      <c r="E12" s="55">
        <v>78817</v>
      </c>
      <c r="F12" s="33"/>
      <c r="G12" s="2">
        <f t="shared" ref="G12:G38" si="1">B12*B$43/1000000</f>
        <v>3.8266711</v>
      </c>
      <c r="H12" s="2">
        <f t="shared" ref="H12:H38" si="2">C12*C$43/1000000</f>
        <v>0.52123200000000003</v>
      </c>
      <c r="I12" s="2">
        <f t="shared" ref="I12:I38" si="3">D12*D$43/1000000*0.6</f>
        <v>18.979932959999999</v>
      </c>
      <c r="J12" s="2">
        <f t="shared" ref="J12:J38" si="4">E12*E$43/1000000</f>
        <v>0.85122360000000008</v>
      </c>
    </row>
    <row r="13" spans="1:11" x14ac:dyDescent="0.25">
      <c r="A13" s="57" t="s">
        <v>96</v>
      </c>
      <c r="B13" s="55">
        <v>511731</v>
      </c>
      <c r="C13" s="55">
        <v>71533</v>
      </c>
      <c r="D13" s="55">
        <v>2940572</v>
      </c>
      <c r="E13" s="55">
        <v>348833</v>
      </c>
      <c r="F13" s="33"/>
      <c r="G13" s="2">
        <f t="shared" si="1"/>
        <v>6.0895989000000004</v>
      </c>
      <c r="H13" s="2">
        <f t="shared" si="2"/>
        <v>0.42919800000000002</v>
      </c>
      <c r="I13" s="2">
        <f t="shared" si="3"/>
        <v>20.113512480000001</v>
      </c>
      <c r="J13" s="2">
        <f t="shared" si="4"/>
        <v>3.7673964000000004</v>
      </c>
    </row>
    <row r="14" spans="1:11" x14ac:dyDescent="0.25">
      <c r="A14" s="57" t="s">
        <v>53</v>
      </c>
      <c r="B14" s="55">
        <v>926446</v>
      </c>
      <c r="C14" s="55">
        <v>134742</v>
      </c>
      <c r="D14" s="55">
        <v>2475516</v>
      </c>
      <c r="E14" s="55">
        <v>187953</v>
      </c>
      <c r="F14" s="33"/>
      <c r="G14" s="2">
        <f t="shared" si="1"/>
        <v>11.0247074</v>
      </c>
      <c r="H14" s="2">
        <f t="shared" si="2"/>
        <v>0.80845199999999995</v>
      </c>
      <c r="I14" s="2">
        <f t="shared" si="3"/>
        <v>16.93252944</v>
      </c>
      <c r="J14" s="2">
        <f t="shared" si="4"/>
        <v>2.0298924</v>
      </c>
    </row>
    <row r="15" spans="1:11" x14ac:dyDescent="0.25">
      <c r="A15" s="57" t="s">
        <v>101</v>
      </c>
      <c r="B15" s="55">
        <v>11966056</v>
      </c>
      <c r="C15" s="55">
        <v>1818520</v>
      </c>
      <c r="D15" s="55">
        <v>21106836</v>
      </c>
      <c r="E15" s="55">
        <v>1614740</v>
      </c>
      <c r="F15" s="33"/>
      <c r="G15" s="2">
        <f t="shared" si="1"/>
        <v>142.3960664</v>
      </c>
      <c r="H15" s="2">
        <f t="shared" si="2"/>
        <v>10.91112</v>
      </c>
      <c r="I15" s="2">
        <f t="shared" si="3"/>
        <v>144.37075823999999</v>
      </c>
      <c r="J15" s="2">
        <f t="shared" si="4"/>
        <v>17.439191999999998</v>
      </c>
    </row>
    <row r="16" spans="1:11" x14ac:dyDescent="0.25">
      <c r="A16" s="57" t="s">
        <v>54</v>
      </c>
      <c r="B16" s="55">
        <v>31979</v>
      </c>
      <c r="C16" s="55">
        <v>29380</v>
      </c>
      <c r="D16" s="55">
        <v>306501</v>
      </c>
      <c r="E16" s="55">
        <v>27245</v>
      </c>
      <c r="F16" s="33"/>
      <c r="G16" s="2">
        <f t="shared" si="1"/>
        <v>0.38055010000000006</v>
      </c>
      <c r="H16" s="2">
        <f t="shared" si="2"/>
        <v>0.17627999999999999</v>
      </c>
      <c r="I16" s="2">
        <f t="shared" si="3"/>
        <v>2.0964668399999997</v>
      </c>
      <c r="J16" s="2">
        <f t="shared" si="4"/>
        <v>0.29424600000000001</v>
      </c>
    </row>
    <row r="17" spans="1:10" x14ac:dyDescent="0.25">
      <c r="A17" s="57" t="s">
        <v>61</v>
      </c>
      <c r="B17" s="55">
        <v>157302</v>
      </c>
      <c r="C17" s="55">
        <v>385371</v>
      </c>
      <c r="D17" s="55">
        <v>1850418</v>
      </c>
      <c r="E17" s="55">
        <v>616688</v>
      </c>
      <c r="F17" s="33"/>
      <c r="G17" s="2">
        <f t="shared" si="1"/>
        <v>1.8718938000000001</v>
      </c>
      <c r="H17" s="2">
        <f t="shared" si="2"/>
        <v>2.3122259999999999</v>
      </c>
      <c r="I17" s="2">
        <f t="shared" si="3"/>
        <v>12.656859119999998</v>
      </c>
      <c r="J17" s="2">
        <f t="shared" si="4"/>
        <v>6.6602304000000006</v>
      </c>
    </row>
    <row r="18" spans="1:10" x14ac:dyDescent="0.25">
      <c r="A18" s="57" t="s">
        <v>59</v>
      </c>
      <c r="B18" s="55">
        <v>169047</v>
      </c>
      <c r="C18" s="55">
        <v>398760</v>
      </c>
      <c r="D18" s="55">
        <v>4085632</v>
      </c>
      <c r="E18" s="55">
        <v>138035</v>
      </c>
      <c r="F18" s="33"/>
      <c r="G18" s="2">
        <f t="shared" si="1"/>
        <v>2.0116593000000003</v>
      </c>
      <c r="H18" s="2">
        <f t="shared" si="2"/>
        <v>2.39256</v>
      </c>
      <c r="I18" s="2">
        <f t="shared" si="3"/>
        <v>27.945722880000002</v>
      </c>
      <c r="J18" s="2">
        <f t="shared" si="4"/>
        <v>1.4907779999999999</v>
      </c>
    </row>
    <row r="19" spans="1:10" x14ac:dyDescent="0.25">
      <c r="A19" s="57" t="s">
        <v>73</v>
      </c>
      <c r="B19" s="55">
        <v>1767554</v>
      </c>
      <c r="C19" s="55">
        <v>1834837</v>
      </c>
      <c r="D19" s="55">
        <v>18169188</v>
      </c>
      <c r="E19" s="55">
        <v>1438320</v>
      </c>
      <c r="F19" s="33"/>
      <c r="G19" s="2">
        <f t="shared" si="1"/>
        <v>21.033892600000001</v>
      </c>
      <c r="H19" s="2">
        <f t="shared" si="2"/>
        <v>11.009022</v>
      </c>
      <c r="I19" s="2">
        <f t="shared" si="3"/>
        <v>124.27724592000001</v>
      </c>
      <c r="J19" s="2">
        <f t="shared" si="4"/>
        <v>15.533856000000002</v>
      </c>
    </row>
    <row r="20" spans="1:10" x14ac:dyDescent="0.25">
      <c r="A20" s="57" t="s">
        <v>56</v>
      </c>
      <c r="B20" s="55">
        <v>6948805</v>
      </c>
      <c r="C20" s="55">
        <v>4055358</v>
      </c>
      <c r="D20" s="55">
        <v>21332273</v>
      </c>
      <c r="E20" s="55">
        <v>1394495</v>
      </c>
      <c r="F20" s="33"/>
      <c r="G20" s="2">
        <f t="shared" si="1"/>
        <v>82.690779500000005</v>
      </c>
      <c r="H20" s="2">
        <f t="shared" si="2"/>
        <v>24.332148</v>
      </c>
      <c r="I20" s="2">
        <f t="shared" si="3"/>
        <v>145.91274732000002</v>
      </c>
      <c r="J20" s="2">
        <f t="shared" si="4"/>
        <v>15.060546000000002</v>
      </c>
    </row>
    <row r="21" spans="1:10" x14ac:dyDescent="0.25">
      <c r="A21" s="57" t="s">
        <v>50</v>
      </c>
      <c r="B21" s="55">
        <v>114765</v>
      </c>
      <c r="C21" s="55">
        <v>33084</v>
      </c>
      <c r="D21" s="55">
        <v>1342167</v>
      </c>
      <c r="E21" s="55">
        <v>16830</v>
      </c>
      <c r="F21" s="33"/>
      <c r="G21" s="2">
        <f t="shared" si="1"/>
        <v>1.3657035</v>
      </c>
      <c r="H21" s="2">
        <f t="shared" si="2"/>
        <v>0.19850400000000001</v>
      </c>
      <c r="I21" s="2">
        <f t="shared" si="3"/>
        <v>9.1804222800000002</v>
      </c>
      <c r="J21" s="2">
        <f t="shared" si="4"/>
        <v>0.18176400000000001</v>
      </c>
    </row>
    <row r="22" spans="1:10" x14ac:dyDescent="0.25">
      <c r="A22" s="57" t="s">
        <v>62</v>
      </c>
      <c r="B22" s="55">
        <v>2791215</v>
      </c>
      <c r="C22" s="55">
        <v>4041343</v>
      </c>
      <c r="D22" s="55">
        <v>16798208</v>
      </c>
      <c r="E22" s="55">
        <v>5455319</v>
      </c>
      <c r="F22" s="33"/>
      <c r="G22" s="2">
        <f t="shared" si="1"/>
        <v>33.215458499999997</v>
      </c>
      <c r="H22" s="2">
        <f t="shared" si="2"/>
        <v>24.248058</v>
      </c>
      <c r="I22" s="2">
        <f t="shared" si="3"/>
        <v>114.89974272000001</v>
      </c>
      <c r="J22" s="2">
        <f t="shared" si="4"/>
        <v>58.917445200000003</v>
      </c>
    </row>
    <row r="23" spans="1:10" x14ac:dyDescent="0.25">
      <c r="A23" s="57" t="s">
        <v>51</v>
      </c>
      <c r="B23" s="55">
        <v>69454</v>
      </c>
      <c r="C23" s="55">
        <v>37964</v>
      </c>
      <c r="D23" s="55">
        <v>148027</v>
      </c>
      <c r="E23" s="55">
        <v>6906</v>
      </c>
      <c r="F23" s="33"/>
      <c r="G23" s="2">
        <f t="shared" si="1"/>
        <v>0.82650259999999998</v>
      </c>
      <c r="H23" s="2">
        <f t="shared" si="2"/>
        <v>0.22778399999999999</v>
      </c>
      <c r="I23" s="2">
        <f t="shared" si="3"/>
        <v>1.0125046799999999</v>
      </c>
      <c r="J23" s="2">
        <f t="shared" si="4"/>
        <v>7.4584800000000007E-2</v>
      </c>
    </row>
    <row r="24" spans="1:10" x14ac:dyDescent="0.25">
      <c r="A24" s="57" t="s">
        <v>63</v>
      </c>
      <c r="B24" s="55">
        <v>80224</v>
      </c>
      <c r="C24" s="55">
        <v>25256</v>
      </c>
      <c r="D24" s="55">
        <v>552387</v>
      </c>
      <c r="E24" s="55">
        <v>22705</v>
      </c>
      <c r="F24" s="33"/>
      <c r="G24" s="2">
        <f t="shared" si="1"/>
        <v>0.9546656</v>
      </c>
      <c r="H24" s="2">
        <f t="shared" si="2"/>
        <v>0.151536</v>
      </c>
      <c r="I24" s="2">
        <f t="shared" si="3"/>
        <v>3.7783270799999995</v>
      </c>
      <c r="J24" s="2">
        <f t="shared" si="4"/>
        <v>0.24521400000000002</v>
      </c>
    </row>
    <row r="25" spans="1:10" x14ac:dyDescent="0.25">
      <c r="A25" s="57" t="s">
        <v>64</v>
      </c>
      <c r="B25" s="55">
        <v>447092</v>
      </c>
      <c r="C25" s="55">
        <v>67081</v>
      </c>
      <c r="D25" s="55">
        <v>932914</v>
      </c>
      <c r="E25" s="55">
        <v>48937</v>
      </c>
      <c r="F25" s="33"/>
      <c r="G25" s="2">
        <f t="shared" si="1"/>
        <v>5.3203947999999999</v>
      </c>
      <c r="H25" s="2">
        <f t="shared" si="2"/>
        <v>0.40248600000000001</v>
      </c>
      <c r="I25" s="2">
        <f t="shared" si="3"/>
        <v>6.3811317599999997</v>
      </c>
      <c r="J25" s="2">
        <f t="shared" si="4"/>
        <v>0.52851959999999998</v>
      </c>
    </row>
    <row r="26" spans="1:10" x14ac:dyDescent="0.25">
      <c r="A26" s="57" t="s">
        <v>65</v>
      </c>
      <c r="B26" s="55">
        <v>55935</v>
      </c>
      <c r="C26" s="55">
        <v>39110</v>
      </c>
      <c r="D26" s="55">
        <v>212383</v>
      </c>
      <c r="E26" s="55">
        <v>10639</v>
      </c>
      <c r="F26" s="33"/>
      <c r="G26" s="2">
        <f t="shared" si="1"/>
        <v>0.66562650000000001</v>
      </c>
      <c r="H26" s="2">
        <f t="shared" si="2"/>
        <v>0.23466000000000001</v>
      </c>
      <c r="I26" s="2">
        <f t="shared" si="3"/>
        <v>1.45269972</v>
      </c>
      <c r="J26" s="2">
        <f t="shared" si="4"/>
        <v>0.11490120000000001</v>
      </c>
    </row>
    <row r="27" spans="1:10" x14ac:dyDescent="0.25">
      <c r="A27" s="57" t="s">
        <v>60</v>
      </c>
      <c r="B27" s="55">
        <v>226992</v>
      </c>
      <c r="C27" s="55">
        <v>77009</v>
      </c>
      <c r="D27" s="55">
        <v>3294411</v>
      </c>
      <c r="E27" s="55">
        <v>164486</v>
      </c>
      <c r="F27" s="33"/>
      <c r="G27" s="2">
        <f t="shared" si="1"/>
        <v>2.7012048000000002</v>
      </c>
      <c r="H27" s="2">
        <f t="shared" si="2"/>
        <v>0.46205400000000002</v>
      </c>
      <c r="I27" s="2">
        <f t="shared" si="3"/>
        <v>22.53377124</v>
      </c>
      <c r="J27" s="2">
        <f t="shared" si="4"/>
        <v>1.7764488000000001</v>
      </c>
    </row>
    <row r="28" spans="1:10" x14ac:dyDescent="0.25">
      <c r="A28" s="57" t="s">
        <v>66</v>
      </c>
      <c r="B28" s="55">
        <v>8085</v>
      </c>
      <c r="C28" s="55">
        <v>7024</v>
      </c>
      <c r="D28" s="55">
        <v>206790</v>
      </c>
      <c r="E28" s="55">
        <v>9626</v>
      </c>
      <c r="F28" s="33"/>
      <c r="G28" s="2">
        <f t="shared" si="1"/>
        <v>9.6211500000000005E-2</v>
      </c>
      <c r="H28" s="2">
        <f t="shared" si="2"/>
        <v>4.2144000000000001E-2</v>
      </c>
      <c r="I28" s="2">
        <f t="shared" si="3"/>
        <v>1.4144436</v>
      </c>
      <c r="J28" s="2">
        <f t="shared" si="4"/>
        <v>0.10396080000000001</v>
      </c>
    </row>
    <row r="29" spans="1:10" x14ac:dyDescent="0.25">
      <c r="A29" s="57" t="s">
        <v>67</v>
      </c>
      <c r="B29" s="55">
        <v>8949530</v>
      </c>
      <c r="C29" s="55">
        <v>2241712</v>
      </c>
      <c r="D29" s="55">
        <v>6843915</v>
      </c>
      <c r="E29" s="55">
        <v>637871</v>
      </c>
      <c r="F29" s="33"/>
      <c r="G29" s="2">
        <f t="shared" si="1"/>
        <v>106.49940700000001</v>
      </c>
      <c r="H29" s="2">
        <f t="shared" si="2"/>
        <v>13.450272</v>
      </c>
      <c r="I29" s="2">
        <f t="shared" si="3"/>
        <v>46.812378599999995</v>
      </c>
      <c r="J29" s="2">
        <f t="shared" si="4"/>
        <v>6.8890068000000007</v>
      </c>
    </row>
    <row r="30" spans="1:10" x14ac:dyDescent="0.25">
      <c r="A30" s="57" t="s">
        <v>42</v>
      </c>
      <c r="B30" s="55">
        <v>1147992</v>
      </c>
      <c r="C30" s="55">
        <v>684758</v>
      </c>
      <c r="D30" s="55">
        <v>2773709</v>
      </c>
      <c r="E30" s="55">
        <v>432207</v>
      </c>
      <c r="F30" s="33"/>
      <c r="G30" s="2">
        <f t="shared" si="1"/>
        <v>13.6611048</v>
      </c>
      <c r="H30" s="2">
        <f t="shared" si="2"/>
        <v>4.1085479999999999</v>
      </c>
      <c r="I30" s="2">
        <f t="shared" si="3"/>
        <v>18.972169560000001</v>
      </c>
      <c r="J30" s="2">
        <f t="shared" si="4"/>
        <v>4.667835600000001</v>
      </c>
    </row>
    <row r="31" spans="1:10" x14ac:dyDescent="0.25">
      <c r="A31" s="57" t="s">
        <v>68</v>
      </c>
      <c r="B31" s="55">
        <v>1818611</v>
      </c>
      <c r="C31" s="55">
        <v>2573749</v>
      </c>
      <c r="D31" s="55">
        <v>6934615</v>
      </c>
      <c r="E31" s="55">
        <v>626376</v>
      </c>
      <c r="F31" s="33"/>
      <c r="G31" s="2">
        <f t="shared" si="1"/>
        <v>21.641470900000002</v>
      </c>
      <c r="H31" s="2">
        <f t="shared" si="2"/>
        <v>15.442494</v>
      </c>
      <c r="I31" s="2">
        <f t="shared" si="3"/>
        <v>47.432766599999994</v>
      </c>
      <c r="J31" s="2">
        <f t="shared" si="4"/>
        <v>6.764860800000001</v>
      </c>
    </row>
    <row r="32" spans="1:10" x14ac:dyDescent="0.25">
      <c r="A32" s="57" t="s">
        <v>69</v>
      </c>
      <c r="B32" s="55">
        <v>82014</v>
      </c>
      <c r="C32" s="55">
        <v>81409</v>
      </c>
      <c r="D32" s="55">
        <v>4476369</v>
      </c>
      <c r="E32" s="55">
        <v>687260</v>
      </c>
      <c r="F32" s="33"/>
      <c r="G32" s="2">
        <f t="shared" si="1"/>
        <v>0.97596660000000002</v>
      </c>
      <c r="H32" s="2">
        <f t="shared" si="2"/>
        <v>0.488454</v>
      </c>
      <c r="I32" s="2">
        <f t="shared" si="3"/>
        <v>30.618363959999996</v>
      </c>
      <c r="J32" s="2">
        <f t="shared" si="4"/>
        <v>7.4224080000000008</v>
      </c>
    </row>
    <row r="33" spans="1:10" x14ac:dyDescent="0.25">
      <c r="A33" s="57" t="s">
        <v>70</v>
      </c>
      <c r="B33" s="55">
        <v>915734</v>
      </c>
      <c r="C33" s="55">
        <v>132091</v>
      </c>
      <c r="D33" s="55">
        <v>5081779</v>
      </c>
      <c r="E33" s="55">
        <v>212510</v>
      </c>
      <c r="F33" s="33"/>
      <c r="G33" s="2">
        <f t="shared" si="1"/>
        <v>10.897234599999999</v>
      </c>
      <c r="H33" s="2">
        <f t="shared" si="2"/>
        <v>0.79254599999999997</v>
      </c>
      <c r="I33" s="2">
        <f t="shared" si="3"/>
        <v>34.759368359999996</v>
      </c>
      <c r="J33" s="2">
        <f t="shared" si="4"/>
        <v>2.2951079999999999</v>
      </c>
    </row>
    <row r="34" spans="1:10" x14ac:dyDescent="0.25">
      <c r="A34" s="57" t="s">
        <v>72</v>
      </c>
      <c r="B34" s="55">
        <v>124811</v>
      </c>
      <c r="C34" s="55">
        <v>82364</v>
      </c>
      <c r="D34" s="55">
        <v>359610</v>
      </c>
      <c r="E34" s="55">
        <v>180419</v>
      </c>
      <c r="F34" s="33"/>
      <c r="G34" s="2">
        <f t="shared" si="1"/>
        <v>1.4852509</v>
      </c>
      <c r="H34" s="2">
        <f t="shared" si="2"/>
        <v>0.49418400000000001</v>
      </c>
      <c r="I34" s="2">
        <f t="shared" si="3"/>
        <v>2.4597324</v>
      </c>
      <c r="J34" s="2">
        <f t="shared" si="4"/>
        <v>1.9485252000000002</v>
      </c>
    </row>
    <row r="35" spans="1:10" x14ac:dyDescent="0.25">
      <c r="A35" s="57" t="s">
        <v>71</v>
      </c>
      <c r="B35" s="55">
        <v>413831</v>
      </c>
      <c r="C35" s="55">
        <v>51610</v>
      </c>
      <c r="D35" s="55">
        <v>1395520</v>
      </c>
      <c r="E35" s="55">
        <v>293818</v>
      </c>
      <c r="F35" s="33"/>
      <c r="G35" s="2">
        <f t="shared" si="1"/>
        <v>4.9245889000000007</v>
      </c>
      <c r="H35" s="2">
        <f t="shared" si="2"/>
        <v>0.30965999999999999</v>
      </c>
      <c r="I35" s="2">
        <f t="shared" si="3"/>
        <v>9.5453567999999986</v>
      </c>
      <c r="J35" s="2">
        <f t="shared" si="4"/>
        <v>3.1732344000000006</v>
      </c>
    </row>
    <row r="36" spans="1:10" x14ac:dyDescent="0.25">
      <c r="A36" s="57" t="s">
        <v>55</v>
      </c>
      <c r="B36" s="55">
        <v>391154</v>
      </c>
      <c r="C36" s="55">
        <v>605556</v>
      </c>
      <c r="D36" s="55">
        <v>1432560</v>
      </c>
      <c r="E36" s="55">
        <v>397613</v>
      </c>
      <c r="F36" s="33"/>
      <c r="G36" s="2">
        <f t="shared" si="1"/>
        <v>4.6547326000000009</v>
      </c>
      <c r="H36" s="2">
        <f t="shared" si="2"/>
        <v>3.6333359999999999</v>
      </c>
      <c r="I36" s="2">
        <f t="shared" si="3"/>
        <v>9.7987103999999992</v>
      </c>
      <c r="J36" s="2">
        <f t="shared" si="4"/>
        <v>4.2942204000000004</v>
      </c>
    </row>
    <row r="37" spans="1:10" x14ac:dyDescent="0.25">
      <c r="A37" s="57" t="s">
        <v>74</v>
      </c>
      <c r="B37" s="55">
        <v>935408</v>
      </c>
      <c r="C37" s="55">
        <v>659334</v>
      </c>
      <c r="D37" s="55">
        <v>2165423</v>
      </c>
      <c r="E37" s="55">
        <v>423457</v>
      </c>
      <c r="F37" s="33"/>
      <c r="G37" s="2">
        <f t="shared" si="1"/>
        <v>11.131355200000002</v>
      </c>
      <c r="H37" s="2">
        <f t="shared" si="2"/>
        <v>3.9560040000000001</v>
      </c>
      <c r="I37" s="2">
        <f t="shared" si="3"/>
        <v>14.81149332</v>
      </c>
      <c r="J37" s="2">
        <f t="shared" si="4"/>
        <v>4.5733356000000009</v>
      </c>
    </row>
    <row r="38" spans="1:10" ht="15.75" thickBot="1" x14ac:dyDescent="0.3">
      <c r="A38" s="62" t="s">
        <v>58</v>
      </c>
      <c r="B38" s="63">
        <v>6745597</v>
      </c>
      <c r="C38" s="63">
        <v>3447808</v>
      </c>
      <c r="D38" s="63">
        <v>22455287</v>
      </c>
      <c r="E38" s="63">
        <v>2440037</v>
      </c>
      <c r="F38" s="35"/>
      <c r="G38" s="10">
        <f t="shared" si="1"/>
        <v>80.272604299999998</v>
      </c>
      <c r="H38" s="10">
        <f t="shared" si="2"/>
        <v>20.686848000000001</v>
      </c>
      <c r="I38" s="10">
        <f t="shared" si="3"/>
        <v>153.59416308000002</v>
      </c>
      <c r="J38" s="10">
        <f t="shared" si="4"/>
        <v>26.352399600000002</v>
      </c>
    </row>
    <row r="39" spans="1:10" x14ac:dyDescent="0.25">
      <c r="A39" s="57" t="s">
        <v>98</v>
      </c>
      <c r="B39" s="65">
        <f>SUM(B11:B38)</f>
        <v>52577181</v>
      </c>
      <c r="C39" s="65">
        <f t="shared" ref="C39:J39" si="5">SUM(C11:C38)</f>
        <v>24822209</v>
      </c>
      <c r="D39" s="65">
        <f t="shared" si="5"/>
        <v>156538703</v>
      </c>
      <c r="E39" s="65">
        <f t="shared" si="5"/>
        <v>18491292</v>
      </c>
      <c r="F39" s="65"/>
      <c r="G39" s="66">
        <f t="shared" si="5"/>
        <v>625.66845390000003</v>
      </c>
      <c r="H39" s="66">
        <f t="shared" si="5"/>
        <v>148.93325399999998</v>
      </c>
      <c r="I39" s="66">
        <f>SUM(I11:I38)</f>
        <v>1070.7247285200001</v>
      </c>
      <c r="J39" s="66">
        <f t="shared" si="5"/>
        <v>199.70595360000004</v>
      </c>
    </row>
    <row r="40" spans="1:10" x14ac:dyDescent="0.25">
      <c r="I40" t="s">
        <v>120</v>
      </c>
    </row>
    <row r="41" spans="1:10" x14ac:dyDescent="0.25">
      <c r="A41" s="212" t="s">
        <v>100</v>
      </c>
      <c r="B41" s="212"/>
      <c r="C41" s="212"/>
      <c r="D41" s="212"/>
      <c r="E41" s="212"/>
    </row>
    <row r="42" spans="1:10" x14ac:dyDescent="0.25">
      <c r="A42" s="64"/>
      <c r="B42" s="64" t="s">
        <v>113</v>
      </c>
      <c r="C42" s="48" t="s">
        <v>115</v>
      </c>
      <c r="D42" s="48" t="s">
        <v>116</v>
      </c>
      <c r="E42" s="48" t="s">
        <v>117</v>
      </c>
    </row>
    <row r="43" spans="1:10" ht="17.25" x14ac:dyDescent="0.25">
      <c r="A43" s="43" t="s">
        <v>233</v>
      </c>
      <c r="B43" s="43">
        <v>11.9</v>
      </c>
      <c r="C43">
        <v>6</v>
      </c>
      <c r="D43">
        <v>11.4</v>
      </c>
      <c r="E43">
        <v>10.8</v>
      </c>
    </row>
  </sheetData>
  <sheetProtection algorithmName="SHA-512" hashValue="ZdmwJFwKAOQ2vuHOHDeZOFRJtbYb7uJMw1Mlvd+wihz/HuiKkvC+CGial9Y/8TKlWvcicXlL7GhgNFBSRMyN+g==" saltValue="v1Xl6sW9tH28gzJbaVMGsw==" spinCount="100000" sheet="1" objects="1" scenarios="1"/>
  <mergeCells count="1">
    <mergeCell ref="A41:E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32"/>
  <sheetViews>
    <sheetView tabSelected="1" workbookViewId="0"/>
  </sheetViews>
  <sheetFormatPr defaultRowHeight="15" x14ac:dyDescent="0.25"/>
  <cols>
    <col min="1" max="1" width="12.85546875" customWidth="1"/>
  </cols>
  <sheetData>
    <row r="1" spans="1:18" s="100" customFormat="1" ht="42.75" customHeight="1" x14ac:dyDescent="0.25">
      <c r="A1" s="121" t="s">
        <v>202</v>
      </c>
      <c r="B1" s="211" t="s">
        <v>201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ht="238.5" x14ac:dyDescent="0.25">
      <c r="A2" s="104"/>
      <c r="B2" s="104" t="s">
        <v>234</v>
      </c>
      <c r="C2" s="104" t="s">
        <v>86</v>
      </c>
      <c r="D2" s="104" t="s">
        <v>87</v>
      </c>
      <c r="E2" s="104" t="s">
        <v>88</v>
      </c>
      <c r="F2" s="104" t="s">
        <v>89</v>
      </c>
      <c r="G2" s="104" t="s">
        <v>90</v>
      </c>
      <c r="H2" s="104" t="s">
        <v>91</v>
      </c>
      <c r="I2" s="104" t="s">
        <v>92</v>
      </c>
      <c r="J2" s="104" t="s">
        <v>93</v>
      </c>
      <c r="K2" s="104" t="s">
        <v>94</v>
      </c>
      <c r="L2" s="104" t="s">
        <v>95</v>
      </c>
      <c r="M2" s="96" t="s">
        <v>158</v>
      </c>
      <c r="N2" s="104" t="s">
        <v>159</v>
      </c>
      <c r="O2" s="104" t="s">
        <v>160</v>
      </c>
      <c r="P2" s="104" t="s">
        <v>161</v>
      </c>
    </row>
    <row r="3" spans="1:18" s="100" customForma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94" t="s">
        <v>162</v>
      </c>
      <c r="N3" s="105"/>
      <c r="O3" s="104"/>
      <c r="P3" s="104"/>
    </row>
    <row r="4" spans="1:18" x14ac:dyDescent="0.25">
      <c r="A4" s="102"/>
      <c r="B4" s="97" t="s">
        <v>42</v>
      </c>
      <c r="C4" s="103">
        <v>4.0688346294525237</v>
      </c>
      <c r="D4" s="103">
        <v>4.592811760914759</v>
      </c>
      <c r="E4" s="103">
        <v>2.8715483437684881</v>
      </c>
      <c r="F4" s="103">
        <v>4.2318388067536539</v>
      </c>
      <c r="G4" s="103">
        <v>3.4431040936120345</v>
      </c>
      <c r="H4" s="103">
        <v>4.2715432432029123</v>
      </c>
      <c r="I4" s="103">
        <v>3.4397714472850649</v>
      </c>
      <c r="J4" s="103">
        <v>5.0455896676053049</v>
      </c>
      <c r="K4" s="103">
        <v>4.0123882600490139</v>
      </c>
      <c r="L4" s="103">
        <v>6.0261528028159272</v>
      </c>
      <c r="M4" s="93">
        <v>2.1434317840000001</v>
      </c>
      <c r="N4" s="103">
        <v>2.4292221200000026</v>
      </c>
      <c r="O4" s="103">
        <v>1.0002683080000005</v>
      </c>
      <c r="P4" s="103">
        <v>0.14289516799999993</v>
      </c>
    </row>
    <row r="5" spans="1:18" x14ac:dyDescent="0.25">
      <c r="A5" s="101"/>
      <c r="B5" s="109" t="s">
        <v>44</v>
      </c>
      <c r="C5" s="103">
        <v>5.2300246545259528</v>
      </c>
      <c r="D5" s="103">
        <v>5.0620103239811192</v>
      </c>
      <c r="E5" s="103">
        <v>3.8004461772893721</v>
      </c>
      <c r="F5" s="103">
        <v>4.777456572278906</v>
      </c>
      <c r="G5" s="103">
        <v>3.1716119050517571</v>
      </c>
      <c r="H5" s="103">
        <v>4.6494365185550066</v>
      </c>
      <c r="I5" s="103">
        <v>3.1953499443977531</v>
      </c>
      <c r="J5" s="103">
        <v>4.9733248589569117</v>
      </c>
      <c r="K5" s="103">
        <v>3.4580066425770273</v>
      </c>
      <c r="L5" s="103">
        <v>5.6920454039115596</v>
      </c>
      <c r="M5" s="93">
        <v>2.1936998839999995</v>
      </c>
      <c r="N5" s="103">
        <v>2.4861926199999993</v>
      </c>
      <c r="O5" s="103">
        <v>1.0237267579999998</v>
      </c>
      <c r="P5" s="103">
        <v>0.14624636799999996</v>
      </c>
    </row>
    <row r="6" spans="1:18" x14ac:dyDescent="0.25">
      <c r="A6" s="101"/>
      <c r="B6" s="109" t="s">
        <v>47</v>
      </c>
      <c r="C6" s="103">
        <v>3.4215421562867188</v>
      </c>
      <c r="D6" s="103">
        <v>3.6566124821125441</v>
      </c>
      <c r="E6" s="103">
        <v>2.0405449222965433</v>
      </c>
      <c r="F6" s="103">
        <v>3.238830697446514</v>
      </c>
      <c r="G6" s="103">
        <v>2.1971075823188371</v>
      </c>
      <c r="H6" s="103">
        <v>2.9941825897051446</v>
      </c>
      <c r="I6" s="103">
        <v>0.3875374500852507</v>
      </c>
      <c r="J6" s="103">
        <v>4.2410525056245651</v>
      </c>
      <c r="K6" s="103">
        <v>0.44367068294970113</v>
      </c>
      <c r="L6" s="103">
        <v>5.0078542513112385</v>
      </c>
      <c r="M6" s="93">
        <v>0.96313679600000035</v>
      </c>
      <c r="N6" s="103">
        <v>1.0915547800000001</v>
      </c>
      <c r="O6" s="103">
        <v>0.44946390200000064</v>
      </c>
      <c r="P6" s="103">
        <v>6.420899200000009E-2</v>
      </c>
    </row>
    <row r="7" spans="1:18" x14ac:dyDescent="0.25">
      <c r="A7" s="101"/>
      <c r="B7" s="109" t="s">
        <v>50</v>
      </c>
      <c r="C7" s="103">
        <v>3.2261933274409489</v>
      </c>
      <c r="D7" s="103">
        <v>3.9076898111516889</v>
      </c>
      <c r="E7" s="103">
        <v>2.1069028040540494</v>
      </c>
      <c r="F7" s="103">
        <v>3.3726293003860963</v>
      </c>
      <c r="G7" s="103">
        <v>2.4241375108108101</v>
      </c>
      <c r="H7" s="103">
        <v>3.3309637842963609</v>
      </c>
      <c r="I7" s="103">
        <v>0.68978141600423792</v>
      </c>
      <c r="J7" s="103">
        <v>3.9217418101029549</v>
      </c>
      <c r="K7" s="103">
        <v>0.79988681057233646</v>
      </c>
      <c r="L7" s="103">
        <v>4.6722771684362892</v>
      </c>
      <c r="M7" s="93">
        <v>1.3230563919999998</v>
      </c>
      <c r="N7" s="103">
        <v>1.4994635600000008</v>
      </c>
      <c r="O7" s="103">
        <v>0.61742640399999982</v>
      </c>
      <c r="P7" s="103">
        <v>8.820358399999996E-2</v>
      </c>
    </row>
    <row r="8" spans="1:18" x14ac:dyDescent="0.25">
      <c r="A8" s="101"/>
      <c r="B8" s="109" t="s">
        <v>51</v>
      </c>
      <c r="C8" s="103" t="s">
        <v>28</v>
      </c>
      <c r="D8" s="103" t="s">
        <v>28</v>
      </c>
      <c r="E8" s="103" t="s">
        <v>28</v>
      </c>
      <c r="F8" s="103" t="s">
        <v>28</v>
      </c>
      <c r="G8" s="103" t="s">
        <v>28</v>
      </c>
      <c r="H8" s="103" t="s">
        <v>28</v>
      </c>
      <c r="I8" s="103" t="s">
        <v>28</v>
      </c>
      <c r="J8" s="103" t="s">
        <v>28</v>
      </c>
      <c r="K8" s="103" t="s">
        <v>28</v>
      </c>
      <c r="L8" s="103" t="s">
        <v>28</v>
      </c>
      <c r="M8" s="93" t="s">
        <v>28</v>
      </c>
      <c r="N8" s="103" t="s">
        <v>28</v>
      </c>
      <c r="O8" s="103" t="s">
        <v>28</v>
      </c>
      <c r="P8" s="103" t="s">
        <v>28</v>
      </c>
    </row>
    <row r="9" spans="1:18" x14ac:dyDescent="0.25">
      <c r="A9" s="101"/>
      <c r="B9" s="109" t="s">
        <v>96</v>
      </c>
      <c r="C9" s="103">
        <v>2.9068353023603559</v>
      </c>
      <c r="D9" s="103">
        <v>3.3324827111891842</v>
      </c>
      <c r="E9" s="103">
        <v>2.0815321462692258</v>
      </c>
      <c r="F9" s="103">
        <v>3.1359675268095191</v>
      </c>
      <c r="G9" s="103">
        <v>2.3458376205565163</v>
      </c>
      <c r="H9" s="103">
        <v>2.8287440417068943</v>
      </c>
      <c r="I9" s="103">
        <v>2.3904861662156836</v>
      </c>
      <c r="J9" s="103">
        <v>3.5127518773809521</v>
      </c>
      <c r="K9" s="103">
        <v>2.7095802288431359</v>
      </c>
      <c r="L9" s="103">
        <v>3.9399483318095165</v>
      </c>
      <c r="M9" s="93">
        <v>1.3170242200000002</v>
      </c>
      <c r="N9" s="103">
        <v>1.4926270999999991</v>
      </c>
      <c r="O9" s="103">
        <v>0.6146113900000002</v>
      </c>
      <c r="P9" s="103">
        <v>8.7801439999999897E-2</v>
      </c>
    </row>
    <row r="10" spans="1:18" x14ac:dyDescent="0.25">
      <c r="A10" s="101"/>
      <c r="B10" s="109" t="s">
        <v>53</v>
      </c>
      <c r="C10" s="103">
        <v>4.3089651749480202</v>
      </c>
      <c r="D10" s="103">
        <v>5.619150523735267</v>
      </c>
      <c r="E10" s="103">
        <v>3.1740154470044284</v>
      </c>
      <c r="F10" s="103">
        <v>5.9316117205128176</v>
      </c>
      <c r="G10" s="103">
        <v>4.1337704027090245</v>
      </c>
      <c r="H10" s="103">
        <v>0</v>
      </c>
      <c r="I10" s="103">
        <v>3.853615800075413</v>
      </c>
      <c r="J10" s="103">
        <v>5.4987606747252746</v>
      </c>
      <c r="K10" s="103">
        <v>4.6952659420814467</v>
      </c>
      <c r="L10" s="103">
        <v>0</v>
      </c>
      <c r="M10" s="93">
        <v>2.7888741880000003</v>
      </c>
      <c r="N10" s="103">
        <v>3.1607233399999997</v>
      </c>
      <c r="O10" s="103">
        <v>1.3014748060000008</v>
      </c>
      <c r="P10" s="103">
        <v>0.18592457600000001</v>
      </c>
    </row>
    <row r="11" spans="1:18" x14ac:dyDescent="0.25">
      <c r="A11" s="101"/>
      <c r="B11" s="109" t="s">
        <v>54</v>
      </c>
      <c r="C11" s="103">
        <v>2.759451565361914</v>
      </c>
      <c r="D11" s="103">
        <v>3.3729857496427429</v>
      </c>
      <c r="E11" s="103">
        <v>2.0650253812334216</v>
      </c>
      <c r="F11" s="103">
        <v>3.1573755317733938</v>
      </c>
      <c r="G11" s="103">
        <v>2.8241951374512744</v>
      </c>
      <c r="H11" s="103">
        <v>3.2658371764565985</v>
      </c>
      <c r="I11" s="103">
        <v>2.4935515051386039</v>
      </c>
      <c r="J11" s="103">
        <v>3.6678942774219983</v>
      </c>
      <c r="K11" s="103">
        <v>3.0866819456051373</v>
      </c>
      <c r="L11" s="103">
        <v>4.4246872043513834</v>
      </c>
      <c r="M11" s="93">
        <v>1.5281502400000002</v>
      </c>
      <c r="N11" s="103">
        <v>1.7319031999999996</v>
      </c>
      <c r="O11" s="103">
        <v>0.71313688000000031</v>
      </c>
      <c r="P11" s="103">
        <v>0.10187648000000003</v>
      </c>
    </row>
    <row r="12" spans="1:18" x14ac:dyDescent="0.25">
      <c r="A12" s="101"/>
      <c r="B12" s="109" t="s">
        <v>55</v>
      </c>
      <c r="C12" s="103">
        <v>4.6521238512612664</v>
      </c>
      <c r="D12" s="103">
        <v>5.1299915261733178</v>
      </c>
      <c r="E12" s="103">
        <v>3.3284855215430293</v>
      </c>
      <c r="F12" s="103">
        <v>4.6173451036167847</v>
      </c>
      <c r="G12" s="103">
        <v>6.6518796551263035</v>
      </c>
      <c r="H12" s="103">
        <v>5.9679899663136204</v>
      </c>
      <c r="I12" s="103">
        <v>1.2433932536087771</v>
      </c>
      <c r="J12" s="103">
        <v>5.2949331949546474</v>
      </c>
      <c r="K12" s="103">
        <v>1.7000643222408929</v>
      </c>
      <c r="L12" s="103">
        <v>6.7308705289568955</v>
      </c>
      <c r="M12" s="93">
        <v>2.441018935999991</v>
      </c>
      <c r="N12" s="103">
        <v>2.7664874800000114</v>
      </c>
      <c r="O12" s="103">
        <v>1.139142332000004</v>
      </c>
      <c r="P12" s="103">
        <v>0.16273427200000076</v>
      </c>
    </row>
    <row r="13" spans="1:18" x14ac:dyDescent="0.25">
      <c r="A13" s="101"/>
      <c r="B13" s="109" t="s">
        <v>56</v>
      </c>
      <c r="C13" s="103">
        <v>4.4486745355096335</v>
      </c>
      <c r="D13" s="103">
        <v>4.7472773437643978</v>
      </c>
      <c r="E13" s="103">
        <v>2.9345040897277457</v>
      </c>
      <c r="F13" s="103">
        <v>4.2453069559662211</v>
      </c>
      <c r="G13" s="103">
        <v>3.2465877860085901</v>
      </c>
      <c r="H13" s="103">
        <v>3.6838890741529697</v>
      </c>
      <c r="I13" s="103">
        <v>3.0631077744414075</v>
      </c>
      <c r="J13" s="103">
        <v>4.7899345861953213</v>
      </c>
      <c r="K13" s="103">
        <v>3.4251731953744815</v>
      </c>
      <c r="L13" s="103">
        <v>5.3488573715669894</v>
      </c>
      <c r="M13" s="93">
        <v>2.1735926439999962</v>
      </c>
      <c r="N13" s="103">
        <v>2.4634044199999887</v>
      </c>
      <c r="O13" s="103">
        <v>1.0143433779999977</v>
      </c>
      <c r="P13" s="103">
        <v>0.14490588799999896</v>
      </c>
    </row>
    <row r="14" spans="1:18" x14ac:dyDescent="0.25">
      <c r="A14" s="101"/>
      <c r="B14" s="109" t="s">
        <v>57</v>
      </c>
      <c r="C14" s="103">
        <v>4.1042264564742004</v>
      </c>
      <c r="D14" s="103">
        <v>4.5400426772809137</v>
      </c>
      <c r="E14" s="103">
        <v>2.9157345750874102</v>
      </c>
      <c r="F14" s="103">
        <v>4.0832084573322431</v>
      </c>
      <c r="G14" s="103">
        <v>2.8884058139762798</v>
      </c>
      <c r="H14" s="103">
        <v>3.7692870702272696</v>
      </c>
      <c r="I14" s="103">
        <v>3.1022571408778936</v>
      </c>
      <c r="J14" s="103">
        <v>4.5405322436147104</v>
      </c>
      <c r="K14" s="103">
        <v>3.3046794392201351</v>
      </c>
      <c r="L14" s="103">
        <v>5.1775289010660099</v>
      </c>
      <c r="M14" s="93">
        <v>2.0831100639999947</v>
      </c>
      <c r="N14" s="103">
        <v>2.3608575200000099</v>
      </c>
      <c r="O14" s="103">
        <v>0.97211816800000217</v>
      </c>
      <c r="P14" s="103">
        <v>0.13887372800000006</v>
      </c>
    </row>
    <row r="15" spans="1:18" x14ac:dyDescent="0.25">
      <c r="A15" s="101"/>
      <c r="B15" s="109" t="s">
        <v>59</v>
      </c>
      <c r="C15" s="103">
        <v>5.0220686525854612</v>
      </c>
      <c r="D15" s="103">
        <v>5.3132536488214166</v>
      </c>
      <c r="E15" s="103">
        <v>2.810664892663334</v>
      </c>
      <c r="F15" s="103">
        <v>4.2681602605838114</v>
      </c>
      <c r="G15" s="103">
        <v>3.0293405789160075</v>
      </c>
      <c r="H15" s="103">
        <v>4.6074550220477049</v>
      </c>
      <c r="I15" s="103">
        <v>6.640752135374671E-2</v>
      </c>
      <c r="J15" s="103">
        <v>6.1464638538323477</v>
      </c>
      <c r="K15" s="103">
        <v>7.5720552565135657E-2</v>
      </c>
      <c r="L15" s="103">
        <v>7.8872244927266673</v>
      </c>
      <c r="M15" s="93">
        <v>1.7332440880000028</v>
      </c>
      <c r="N15" s="103">
        <v>1.96434284</v>
      </c>
      <c r="O15" s="103">
        <v>0.80884735600000068</v>
      </c>
      <c r="P15" s="103">
        <v>0.11554937599999991</v>
      </c>
    </row>
    <row r="16" spans="1:18" x14ac:dyDescent="0.25">
      <c r="A16" s="101"/>
      <c r="B16" s="109" t="s">
        <v>60</v>
      </c>
      <c r="C16" s="103">
        <v>2.8735137604977847</v>
      </c>
      <c r="D16" s="103">
        <v>3.4311044716597912</v>
      </c>
      <c r="E16" s="103">
        <v>1.8899609872718368</v>
      </c>
      <c r="F16" s="103">
        <v>3.0567744314366396</v>
      </c>
      <c r="G16" s="103">
        <v>2.1709645968165048</v>
      </c>
      <c r="H16" s="103">
        <v>2.9010231492255962</v>
      </c>
      <c r="I16" s="103">
        <v>1.8406204220837457</v>
      </c>
      <c r="J16" s="103">
        <v>3.364104464790147</v>
      </c>
      <c r="K16" s="103">
        <v>2.087001555151212</v>
      </c>
      <c r="L16" s="103">
        <v>3.8888951688660143</v>
      </c>
      <c r="M16" s="93">
        <v>1.1983915040000002</v>
      </c>
      <c r="N16" s="103">
        <v>1.3581767200000014</v>
      </c>
      <c r="O16" s="103">
        <v>0.55924944799999954</v>
      </c>
      <c r="P16" s="103">
        <v>7.9892608000000045E-2</v>
      </c>
    </row>
    <row r="17" spans="1:16" x14ac:dyDescent="0.25">
      <c r="A17" s="101"/>
      <c r="B17" s="109" t="s">
        <v>61</v>
      </c>
      <c r="C17" s="103">
        <v>4.9593212392117039</v>
      </c>
      <c r="D17" s="103">
        <v>5.2736166322297278</v>
      </c>
      <c r="E17" s="103">
        <v>3.5931727971874978</v>
      </c>
      <c r="F17" s="103">
        <v>4.6110715033333296</v>
      </c>
      <c r="G17" s="103">
        <v>5.9089136593913052</v>
      </c>
      <c r="H17" s="103">
        <v>5.5580420562499944</v>
      </c>
      <c r="I17" s="103">
        <v>4.1948544666176453</v>
      </c>
      <c r="J17" s="103">
        <v>6.0525147945833293</v>
      </c>
      <c r="K17" s="103">
        <v>5.5805925337990177</v>
      </c>
      <c r="L17" s="103">
        <v>7.8867573304464189</v>
      </c>
      <c r="M17" s="93">
        <v>2.505362104</v>
      </c>
      <c r="N17" s="103">
        <v>2.8394097200000021</v>
      </c>
      <c r="O17" s="103">
        <v>1.169169148000001</v>
      </c>
      <c r="P17" s="103">
        <v>0.16702380799999991</v>
      </c>
    </row>
    <row r="18" spans="1:16" x14ac:dyDescent="0.25">
      <c r="A18" s="101"/>
      <c r="B18" s="109" t="s">
        <v>62</v>
      </c>
      <c r="C18" s="103">
        <v>5.9038236130091937</v>
      </c>
      <c r="D18" s="103">
        <v>5.7534605644144134</v>
      </c>
      <c r="E18" s="103">
        <v>3.7313058837008741</v>
      </c>
      <c r="F18" s="103">
        <v>4.353573272631988</v>
      </c>
      <c r="G18" s="103">
        <v>5.6797473210491489</v>
      </c>
      <c r="H18" s="103">
        <v>5.0683474346514181</v>
      </c>
      <c r="I18" s="103">
        <v>0.1977117933663681</v>
      </c>
      <c r="J18" s="103">
        <v>6.6475143307906261</v>
      </c>
      <c r="K18" s="103">
        <v>0.23291183306692223</v>
      </c>
      <c r="L18" s="103">
        <v>8.3003822013392838</v>
      </c>
      <c r="M18" s="93">
        <v>2.0569706520000035</v>
      </c>
      <c r="N18" s="103">
        <v>2.3312328600000001</v>
      </c>
      <c r="O18" s="103">
        <v>0.95991977400000339</v>
      </c>
      <c r="P18" s="103">
        <v>0.1371311040000005</v>
      </c>
    </row>
    <row r="19" spans="1:16" x14ac:dyDescent="0.25">
      <c r="A19" s="101"/>
      <c r="B19" s="109" t="s">
        <v>63</v>
      </c>
      <c r="C19" s="103">
        <v>2.7221222036894024</v>
      </c>
      <c r="D19" s="103">
        <v>3.1124135395109356</v>
      </c>
      <c r="E19" s="103">
        <v>2.057141937156588</v>
      </c>
      <c r="F19" s="103">
        <v>2.9336190326247125</v>
      </c>
      <c r="G19" s="103">
        <v>2.9479257378674908</v>
      </c>
      <c r="H19" s="103">
        <v>3.2037880141009842</v>
      </c>
      <c r="I19" s="103">
        <v>2.321063674112974</v>
      </c>
      <c r="J19" s="103">
        <v>3.3733673906179122</v>
      </c>
      <c r="K19" s="103">
        <v>2.8759616577964473</v>
      </c>
      <c r="L19" s="103">
        <v>4.0946024295634871</v>
      </c>
      <c r="M19" s="93">
        <v>1.423592591999999</v>
      </c>
      <c r="N19" s="103">
        <v>1.61340456</v>
      </c>
      <c r="O19" s="103">
        <v>0.6643433039999993</v>
      </c>
      <c r="P19" s="103">
        <v>9.4905983999999957E-2</v>
      </c>
    </row>
    <row r="20" spans="1:16" x14ac:dyDescent="0.25">
      <c r="A20" s="101"/>
      <c r="B20" s="109" t="s">
        <v>64</v>
      </c>
      <c r="C20" s="103">
        <v>2.4966516734459443</v>
      </c>
      <c r="D20" s="103">
        <v>3.0432193240765719</v>
      </c>
      <c r="E20" s="103">
        <v>1.8715072402884569</v>
      </c>
      <c r="F20" s="103">
        <v>2.885783877619041</v>
      </c>
      <c r="G20" s="103">
        <v>2.3032728212391258</v>
      </c>
      <c r="H20" s="103">
        <v>2.9439868022198228</v>
      </c>
      <c r="I20" s="103">
        <v>2.2440391024019601</v>
      </c>
      <c r="J20" s="103">
        <v>3.2496024245238031</v>
      </c>
      <c r="K20" s="103">
        <v>2.6642098877696068</v>
      </c>
      <c r="L20" s="103">
        <v>3.86115577142857</v>
      </c>
      <c r="M20" s="93">
        <v>1.2747990160000007</v>
      </c>
      <c r="N20" s="103">
        <v>1.4447718799999993</v>
      </c>
      <c r="O20" s="103">
        <v>0.59490629200000011</v>
      </c>
      <c r="P20" s="103">
        <v>8.4986432000000001E-2</v>
      </c>
    </row>
    <row r="21" spans="1:16" x14ac:dyDescent="0.25">
      <c r="A21" s="101"/>
      <c r="B21" s="109" t="s">
        <v>65</v>
      </c>
      <c r="C21" s="103">
        <v>4.2325629063063062</v>
      </c>
      <c r="D21" s="103">
        <v>4.3253896279279189</v>
      </c>
      <c r="E21" s="103">
        <v>3.4436551721153745</v>
      </c>
      <c r="F21" s="103">
        <v>4.0771881166666546</v>
      </c>
      <c r="G21" s="103">
        <v>2.924957771304348</v>
      </c>
      <c r="H21" s="103">
        <v>3.7762173905172327</v>
      </c>
      <c r="I21" s="103">
        <v>3.119043109803922</v>
      </c>
      <c r="J21" s="103">
        <v>4.5292822214285717</v>
      </c>
      <c r="K21" s="103">
        <v>3.4725866049019611</v>
      </c>
      <c r="L21" s="103">
        <v>5.1785554702380949</v>
      </c>
      <c r="M21" s="93">
        <v>2.4872655880000001</v>
      </c>
      <c r="N21" s="103">
        <v>2.8189003400000003</v>
      </c>
      <c r="O21" s="103">
        <v>1.160724106</v>
      </c>
      <c r="P21" s="103">
        <v>0.16581737600000002</v>
      </c>
    </row>
    <row r="22" spans="1:16" x14ac:dyDescent="0.25">
      <c r="A22" s="101"/>
      <c r="B22" s="109" t="s">
        <v>66</v>
      </c>
      <c r="C22" s="103" t="s">
        <v>28</v>
      </c>
      <c r="D22" s="103" t="s">
        <v>28</v>
      </c>
      <c r="E22" s="103" t="s">
        <v>28</v>
      </c>
      <c r="F22" s="103" t="s">
        <v>28</v>
      </c>
      <c r="G22" s="103" t="s">
        <v>28</v>
      </c>
      <c r="H22" s="103" t="s">
        <v>28</v>
      </c>
      <c r="I22" s="103" t="s">
        <v>28</v>
      </c>
      <c r="J22" s="103" t="s">
        <v>28</v>
      </c>
      <c r="K22" s="103" t="s">
        <v>28</v>
      </c>
      <c r="L22" s="103" t="s">
        <v>28</v>
      </c>
      <c r="M22" s="93" t="s">
        <v>28</v>
      </c>
      <c r="N22" s="103" t="s">
        <v>28</v>
      </c>
      <c r="O22" s="103" t="s">
        <v>28</v>
      </c>
      <c r="P22" s="103" t="s">
        <v>28</v>
      </c>
    </row>
    <row r="23" spans="1:16" x14ac:dyDescent="0.25">
      <c r="A23" s="101"/>
      <c r="B23" s="109" t="s">
        <v>67</v>
      </c>
      <c r="C23" s="103">
        <v>4.6561052281853295</v>
      </c>
      <c r="D23" s="103">
        <v>4.5984056306735281</v>
      </c>
      <c r="E23" s="103">
        <v>3.4504910710164824</v>
      </c>
      <c r="F23" s="103">
        <v>4.0889952651360444</v>
      </c>
      <c r="G23" s="103">
        <v>2.8179817772670712</v>
      </c>
      <c r="H23" s="103">
        <v>3.5772036405172347</v>
      </c>
      <c r="I23" s="103">
        <v>3.0992431284313735</v>
      </c>
      <c r="J23" s="103">
        <v>4.6762398707482866</v>
      </c>
      <c r="K23" s="103">
        <v>2.9093018107843052</v>
      </c>
      <c r="L23" s="103">
        <v>5.2471188113945457</v>
      </c>
      <c r="M23" s="93">
        <v>2.223860744</v>
      </c>
      <c r="N23" s="103">
        <v>2.520374920000001</v>
      </c>
      <c r="O23" s="103">
        <v>1.0378018279999996</v>
      </c>
      <c r="P23" s="103">
        <v>0.14825708799999995</v>
      </c>
    </row>
    <row r="24" spans="1:16" x14ac:dyDescent="0.25">
      <c r="A24" s="101"/>
      <c r="B24" s="109" t="s">
        <v>68</v>
      </c>
      <c r="C24" s="103">
        <v>2.5556016289077679</v>
      </c>
      <c r="D24" s="103">
        <v>3.121514503176368</v>
      </c>
      <c r="E24" s="103">
        <v>1.8045740042872693</v>
      </c>
      <c r="F24" s="103">
        <v>2.904923447907461</v>
      </c>
      <c r="G24" s="103">
        <v>2.0824592533124147</v>
      </c>
      <c r="H24" s="103">
        <v>2.7261057025284354</v>
      </c>
      <c r="I24" s="103">
        <v>2.1121921883161487</v>
      </c>
      <c r="J24" s="103">
        <v>3.0890064957965118</v>
      </c>
      <c r="K24" s="103">
        <v>2.4058992218971045</v>
      </c>
      <c r="L24" s="103">
        <v>3.5136727180964651</v>
      </c>
      <c r="M24" s="93">
        <v>1.0636729960000015</v>
      </c>
      <c r="N24" s="103">
        <v>1.2054957800000048</v>
      </c>
      <c r="O24" s="103">
        <v>0.49638080200000073</v>
      </c>
      <c r="P24" s="103">
        <v>7.0911391999999782E-2</v>
      </c>
    </row>
    <row r="25" spans="1:16" x14ac:dyDescent="0.25">
      <c r="A25" s="101"/>
      <c r="B25" s="109" t="s">
        <v>69</v>
      </c>
      <c r="C25" s="103">
        <v>4.2761255439702852</v>
      </c>
      <c r="D25" s="103">
        <v>4.169378160771295</v>
      </c>
      <c r="E25" s="103">
        <v>2.3551985205634245</v>
      </c>
      <c r="F25" s="103">
        <v>3.7089021196950687</v>
      </c>
      <c r="G25" s="103">
        <v>3.4676551159420259</v>
      </c>
      <c r="H25" s="103">
        <v>3.9913493116757386</v>
      </c>
      <c r="I25" s="103">
        <v>2.9647123306501499</v>
      </c>
      <c r="J25" s="103">
        <v>4.7435464101294889</v>
      </c>
      <c r="K25" s="103">
        <v>3.8432980532335712</v>
      </c>
      <c r="L25" s="103">
        <v>5.9744711136591429</v>
      </c>
      <c r="M25" s="93">
        <v>1.6950403320000011</v>
      </c>
      <c r="N25" s="103">
        <v>1.9210452599999999</v>
      </c>
      <c r="O25" s="103">
        <v>0.79101893400000012</v>
      </c>
      <c r="P25" s="103">
        <v>0.11300246400000001</v>
      </c>
    </row>
    <row r="26" spans="1:16" x14ac:dyDescent="0.25">
      <c r="A26" s="101"/>
      <c r="B26" s="109" t="s">
        <v>70</v>
      </c>
      <c r="C26" s="103">
        <v>3.5165723934034609</v>
      </c>
      <c r="D26" s="103">
        <v>4.0765010760505378</v>
      </c>
      <c r="E26" s="103">
        <v>2.2072360530265835</v>
      </c>
      <c r="F26" s="103">
        <v>3.2783766670821346</v>
      </c>
      <c r="G26" s="103">
        <v>2.3748576401925856</v>
      </c>
      <c r="H26" s="103">
        <v>3.1627790313006221</v>
      </c>
      <c r="I26" s="103">
        <v>3.413464920028948</v>
      </c>
      <c r="J26" s="103">
        <v>4.9311571906999001</v>
      </c>
      <c r="K26" s="103">
        <v>3.9333070121068583</v>
      </c>
      <c r="L26" s="103">
        <v>6.065335658413221</v>
      </c>
      <c r="M26" s="93">
        <v>1.0375335839999993</v>
      </c>
      <c r="N26" s="103">
        <v>1.1758711200000009</v>
      </c>
      <c r="O26" s="103">
        <v>0.48418240800000029</v>
      </c>
      <c r="P26" s="103">
        <v>6.9168768000000144E-2</v>
      </c>
    </row>
    <row r="27" spans="1:16" x14ac:dyDescent="0.25">
      <c r="A27" s="101"/>
      <c r="B27" s="109" t="s">
        <v>71</v>
      </c>
      <c r="C27" s="103">
        <v>2.8924529598081925</v>
      </c>
      <c r="D27" s="103">
        <v>3.2540876422260929</v>
      </c>
      <c r="E27" s="103">
        <v>2.0167321815756769</v>
      </c>
      <c r="F27" s="103">
        <v>3.0453849917434712</v>
      </c>
      <c r="G27" s="103">
        <v>2.1628118886675973</v>
      </c>
      <c r="H27" s="103">
        <v>2.7391448758620669</v>
      </c>
      <c r="I27" s="103">
        <v>2.4077991784313695</v>
      </c>
      <c r="J27" s="103">
        <v>3.4260198759216558</v>
      </c>
      <c r="K27" s="103">
        <v>2.6814208529095498</v>
      </c>
      <c r="L27" s="103">
        <v>3.8532576359062896</v>
      </c>
      <c r="M27" s="93">
        <v>1.3672923199999996</v>
      </c>
      <c r="N27" s="103">
        <v>1.5495975999999991</v>
      </c>
      <c r="O27" s="103">
        <v>0.63806984</v>
      </c>
      <c r="P27" s="103">
        <v>9.1152639999999924E-2</v>
      </c>
    </row>
    <row r="28" spans="1:16" x14ac:dyDescent="0.25">
      <c r="A28" s="101"/>
      <c r="B28" s="109" t="s">
        <v>72</v>
      </c>
      <c r="C28" s="103">
        <v>3.89751248378378</v>
      </c>
      <c r="D28" s="103">
        <v>4.5517508153972104</v>
      </c>
      <c r="E28" s="103">
        <v>2.6896499475524438</v>
      </c>
      <c r="F28" s="103">
        <v>3.8981200237012983</v>
      </c>
      <c r="G28" s="103">
        <v>3.1895368109090865</v>
      </c>
      <c r="H28" s="103">
        <v>3.8207686496865167</v>
      </c>
      <c r="I28" s="103">
        <v>3.2160418963458084</v>
      </c>
      <c r="J28" s="103">
        <v>5.1044197971861385</v>
      </c>
      <c r="K28" s="103">
        <v>3.7552917262032044</v>
      </c>
      <c r="L28" s="103">
        <v>6.2026612595238042</v>
      </c>
      <c r="M28" s="93">
        <v>1.6407507840000002</v>
      </c>
      <c r="N28" s="103">
        <v>1.8595171199999998</v>
      </c>
      <c r="O28" s="103">
        <v>0.76568380800000024</v>
      </c>
      <c r="P28" s="103">
        <v>0.109383168</v>
      </c>
    </row>
    <row r="29" spans="1:16" x14ac:dyDescent="0.25">
      <c r="A29" s="101"/>
      <c r="B29" s="109" t="s">
        <v>73</v>
      </c>
      <c r="C29" s="103">
        <v>6.876417133439487</v>
      </c>
      <c r="D29" s="103">
        <v>4.2570136941068331</v>
      </c>
      <c r="E29" s="103">
        <v>2.562221360769839</v>
      </c>
      <c r="F29" s="103">
        <v>3.8312614357863195</v>
      </c>
      <c r="G29" s="103">
        <v>3.4177403895652154</v>
      </c>
      <c r="H29" s="103">
        <v>3.5385369871540671</v>
      </c>
      <c r="I29" s="103">
        <v>0.18116497848445096</v>
      </c>
      <c r="J29" s="103">
        <v>0.32381393763269611</v>
      </c>
      <c r="K29" s="103">
        <v>0.22042170161421218</v>
      </c>
      <c r="L29" s="103">
        <v>0.38889224736881989</v>
      </c>
      <c r="M29" s="93">
        <v>1.8398124600000021</v>
      </c>
      <c r="N29" s="103">
        <v>2.0851203000000047</v>
      </c>
      <c r="O29" s="103">
        <v>0.85857927000000522</v>
      </c>
      <c r="P29" s="103">
        <v>0.12265392</v>
      </c>
    </row>
    <row r="30" spans="1:16" x14ac:dyDescent="0.25">
      <c r="A30" s="101"/>
      <c r="B30" s="106" t="s">
        <v>74</v>
      </c>
      <c r="C30" s="107">
        <v>4.738206860233948</v>
      </c>
      <c r="D30" s="107">
        <v>5.4572308253775255</v>
      </c>
      <c r="E30" s="107">
        <v>3.502729094434835</v>
      </c>
      <c r="F30" s="107">
        <v>4.9282431775865012</v>
      </c>
      <c r="G30" s="107">
        <v>6.6049129303190375</v>
      </c>
      <c r="H30" s="107">
        <v>5.7437977488836811</v>
      </c>
      <c r="I30" s="107">
        <v>2.5651779015975373</v>
      </c>
      <c r="J30" s="107">
        <v>5.8082631337444042</v>
      </c>
      <c r="K30" s="107">
        <v>3.4339308639194464</v>
      </c>
      <c r="L30" s="107">
        <v>7.2769639102260761</v>
      </c>
      <c r="M30" s="93">
        <v>2.4953084840000117</v>
      </c>
      <c r="N30" s="107">
        <v>2.8280156199999826</v>
      </c>
      <c r="O30" s="107">
        <v>1.1644774580000006</v>
      </c>
      <c r="P30" s="107">
        <v>0.16635356799999995</v>
      </c>
    </row>
    <row r="31" spans="1:16" ht="15.75" thickBot="1" x14ac:dyDescent="0.3">
      <c r="A31" s="101"/>
      <c r="B31" s="99" t="s">
        <v>97</v>
      </c>
      <c r="C31" s="92">
        <v>4.4799320895398749</v>
      </c>
      <c r="D31" s="92">
        <v>5.0203213946490068</v>
      </c>
      <c r="E31" s="92">
        <v>2.9969571466249265</v>
      </c>
      <c r="F31" s="92">
        <v>4.2405443339725126</v>
      </c>
      <c r="G31" s="92">
        <v>3.0989738932710806</v>
      </c>
      <c r="H31" s="92">
        <v>3.9053516170388769</v>
      </c>
      <c r="I31" s="92">
        <v>3.9041650078760313</v>
      </c>
      <c r="J31" s="92">
        <v>5.6820330341402991</v>
      </c>
      <c r="K31" s="92">
        <v>4.2791581858731353</v>
      </c>
      <c r="L31" s="92">
        <v>6.7067079821828024</v>
      </c>
      <c r="M31" s="95">
        <v>2.4249331440000033</v>
      </c>
      <c r="N31" s="92">
        <v>2.7482569200000033</v>
      </c>
      <c r="O31" s="92">
        <v>1.1316356279999986</v>
      </c>
      <c r="P31" s="92">
        <v>0.1616618880000002</v>
      </c>
    </row>
    <row r="32" spans="1:16" ht="15.75" thickTop="1" x14ac:dyDescent="0.25">
      <c r="B32" s="101" t="s">
        <v>157</v>
      </c>
      <c r="C32" s="108">
        <f>AVERAGE(C4:C31)</f>
        <v>4.047148539370748</v>
      </c>
      <c r="D32" s="108">
        <f t="shared" ref="D32:P32" si="0">AVERAGE(D4:D31)</f>
        <v>4.3353737100390424</v>
      </c>
      <c r="E32" s="108">
        <f t="shared" si="0"/>
        <v>2.703920680711891</v>
      </c>
      <c r="F32" s="108">
        <f t="shared" si="0"/>
        <v>3.8808651011685815</v>
      </c>
      <c r="G32" s="108">
        <f t="shared" si="0"/>
        <v>3.3657188343712101</v>
      </c>
      <c r="H32" s="108">
        <f t="shared" si="0"/>
        <v>3.6932988807029514</v>
      </c>
      <c r="I32" s="108">
        <f t="shared" si="0"/>
        <v>2.3733289814627794</v>
      </c>
      <c r="J32" s="108">
        <f t="shared" si="0"/>
        <v>4.4859178816595682</v>
      </c>
      <c r="K32" s="108">
        <f t="shared" si="0"/>
        <v>2.7725542893501918</v>
      </c>
      <c r="L32" s="108">
        <f t="shared" si="0"/>
        <v>5.1287260063694431</v>
      </c>
      <c r="M32" s="98">
        <f t="shared" si="0"/>
        <v>1.8239586746153846</v>
      </c>
      <c r="N32" s="108">
        <f t="shared" si="0"/>
        <v>2.0671526807692313</v>
      </c>
      <c r="O32" s="108">
        <f t="shared" si="0"/>
        <v>0.8511808357692312</v>
      </c>
      <c r="P32" s="108">
        <f t="shared" si="0"/>
        <v>0.12159700307692305</v>
      </c>
    </row>
  </sheetData>
  <sheetProtection algorithmName="SHA-512" hashValue="ntGWULpl/8hIttEwcVc4xlfi+jfQXsxSpoqPkTUlIEgELIhSp70cehyCwCIgIYku1JglHcnLi9rtS28hiKXHVQ==" saltValue="ax9z/dt8Uq+AdHmy7dq0RQ==" spinCount="100000" sheet="1" objects="1" scenarios="1"/>
  <mergeCells count="1">
    <mergeCell ref="B1: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25"/>
  <sheetViews>
    <sheetView topLeftCell="B1" zoomScaleNormal="100" workbookViewId="0">
      <selection activeCell="I21" sqref="I21"/>
    </sheetView>
  </sheetViews>
  <sheetFormatPr defaultRowHeight="15" x14ac:dyDescent="0.25"/>
  <cols>
    <col min="1" max="1" width="12.140625" customWidth="1"/>
    <col min="2" max="2" width="12.140625" style="100" customWidth="1"/>
    <col min="3" max="3" width="26.42578125" customWidth="1"/>
    <col min="7" max="7" width="22.85546875" customWidth="1"/>
    <col min="8" max="8" width="11.7109375" customWidth="1"/>
    <col min="9" max="9" width="12.28515625" customWidth="1"/>
    <col min="10" max="10" width="14.28515625" customWidth="1"/>
    <col min="11" max="11" width="13.140625" customWidth="1"/>
    <col min="12" max="12" width="14.5703125" customWidth="1"/>
    <col min="13" max="13" width="8" style="30" customWidth="1"/>
    <col min="14" max="14" width="32.140625" customWidth="1"/>
    <col min="15" max="15" width="12" customWidth="1"/>
    <col min="16" max="16" width="11.28515625" customWidth="1"/>
    <col min="17" max="17" width="14.42578125" customWidth="1"/>
  </cols>
  <sheetData>
    <row r="1" spans="1:18" ht="17.25" x14ac:dyDescent="0.25">
      <c r="A1" t="s">
        <v>187</v>
      </c>
      <c r="C1" t="s">
        <v>134</v>
      </c>
      <c r="D1">
        <v>41</v>
      </c>
      <c r="E1" t="s">
        <v>235</v>
      </c>
      <c r="G1" s="214" t="s">
        <v>140</v>
      </c>
      <c r="H1" s="214"/>
      <c r="I1" s="214"/>
      <c r="J1" s="214"/>
      <c r="K1" s="214"/>
      <c r="L1" s="214"/>
      <c r="M1" s="69"/>
      <c r="O1" s="89"/>
      <c r="P1" s="89"/>
      <c r="Q1" s="89"/>
      <c r="R1" s="89"/>
    </row>
    <row r="2" spans="1:18" s="30" customFormat="1" ht="45" x14ac:dyDescent="0.25">
      <c r="B2" s="100"/>
      <c r="C2" s="88" t="s">
        <v>136</v>
      </c>
      <c r="D2" s="30">
        <v>5</v>
      </c>
      <c r="E2" s="30" t="s">
        <v>137</v>
      </c>
      <c r="G2"/>
      <c r="H2"/>
      <c r="I2" t="s">
        <v>27</v>
      </c>
      <c r="J2" t="s">
        <v>29</v>
      </c>
      <c r="K2" t="s">
        <v>30</v>
      </c>
      <c r="L2" t="s">
        <v>138</v>
      </c>
      <c r="O2" s="54" t="s">
        <v>113</v>
      </c>
      <c r="P2" s="54" t="s">
        <v>154</v>
      </c>
      <c r="Q2" s="54" t="s">
        <v>155</v>
      </c>
      <c r="R2" s="54" t="s">
        <v>117</v>
      </c>
    </row>
    <row r="3" spans="1:18" s="30" customFormat="1" ht="17.25" x14ac:dyDescent="0.25">
      <c r="B3" s="100"/>
      <c r="C3" t="s">
        <v>135</v>
      </c>
      <c r="D3">
        <v>58</v>
      </c>
      <c r="E3" s="100" t="s">
        <v>235</v>
      </c>
      <c r="G3" s="90" t="s">
        <v>141</v>
      </c>
      <c r="H3" s="30" t="s">
        <v>232</v>
      </c>
      <c r="I3" s="2">
        <v>31.64</v>
      </c>
      <c r="J3" s="2">
        <v>19.100000000000001</v>
      </c>
      <c r="K3" s="78">
        <v>22.38</v>
      </c>
      <c r="L3" s="2">
        <v>21.64</v>
      </c>
      <c r="M3" s="2"/>
      <c r="N3" t="s">
        <v>239</v>
      </c>
      <c r="O3" s="1">
        <v>11.9</v>
      </c>
      <c r="P3" s="1">
        <v>6</v>
      </c>
      <c r="Q3" s="1">
        <v>11.4</v>
      </c>
      <c r="R3" s="1">
        <v>10.8</v>
      </c>
    </row>
    <row r="4" spans="1:18" ht="17.25" x14ac:dyDescent="0.25">
      <c r="C4" s="88" t="s">
        <v>136</v>
      </c>
      <c r="D4">
        <v>5</v>
      </c>
      <c r="E4" t="s">
        <v>137</v>
      </c>
      <c r="G4" s="213" t="s">
        <v>139</v>
      </c>
      <c r="H4" s="100" t="s">
        <v>235</v>
      </c>
      <c r="I4" s="2">
        <f>(D5/D6)/105*100</f>
        <v>72.562358276643991</v>
      </c>
      <c r="J4" s="2">
        <f>D1/105*100</f>
        <v>39.047619047619051</v>
      </c>
      <c r="K4" s="2">
        <f>D13/(D10*D11/100/(D8*D9/100)*D12)</f>
        <v>71.428571428571431</v>
      </c>
      <c r="L4" s="2">
        <f>D3/105*100</f>
        <v>55.238095238095241</v>
      </c>
      <c r="M4" s="2"/>
      <c r="N4" s="30" t="s">
        <v>240</v>
      </c>
      <c r="O4" s="1">
        <f>(150-$K$4-$K$6)</f>
        <v>75</v>
      </c>
      <c r="P4" s="1">
        <f>(160-$K$4-$K$6)</f>
        <v>85</v>
      </c>
      <c r="Q4" s="1">
        <f>(110-$K$4-$K$6)</f>
        <v>35</v>
      </c>
      <c r="R4" s="1">
        <f>(80-$K$4-$K$6)</f>
        <v>4.9999999999999982</v>
      </c>
    </row>
    <row r="5" spans="1:18" ht="17.25" x14ac:dyDescent="0.25">
      <c r="A5" t="s">
        <v>190</v>
      </c>
      <c r="C5" t="s">
        <v>142</v>
      </c>
      <c r="D5">
        <v>112</v>
      </c>
      <c r="E5" t="s">
        <v>237</v>
      </c>
      <c r="G5" s="213"/>
      <c r="H5" s="100" t="s">
        <v>238</v>
      </c>
      <c r="I5" s="91">
        <f>I4/I3</f>
        <v>2.2933741553932991</v>
      </c>
      <c r="J5" s="91">
        <f>J4/J3</f>
        <v>2.044377960608327</v>
      </c>
      <c r="K5" s="91">
        <f>K4/K3</f>
        <v>3.191625175539385</v>
      </c>
      <c r="L5" s="91">
        <f>L4/L3</f>
        <v>2.5525922013907225</v>
      </c>
      <c r="M5" s="2"/>
      <c r="N5" t="s">
        <v>241</v>
      </c>
      <c r="O5" s="91">
        <f>O4/($K$3/0.6)</f>
        <v>2.0107238605898123</v>
      </c>
      <c r="P5" s="91">
        <f t="shared" ref="P5:R5" si="0">P4/($K$3/0.6)</f>
        <v>2.2788203753351208</v>
      </c>
      <c r="Q5" s="91">
        <f t="shared" si="0"/>
        <v>0.93833780160857916</v>
      </c>
      <c r="R5" s="91">
        <f t="shared" si="0"/>
        <v>0.13404825737265411</v>
      </c>
    </row>
    <row r="6" spans="1:18" ht="17.25" x14ac:dyDescent="0.25">
      <c r="A6" t="s">
        <v>144</v>
      </c>
      <c r="C6" s="88" t="s">
        <v>143</v>
      </c>
      <c r="D6">
        <v>1.47</v>
      </c>
      <c r="G6" s="213" t="s">
        <v>136</v>
      </c>
      <c r="H6" s="100" t="s">
        <v>235</v>
      </c>
      <c r="I6" s="2">
        <f>(D5/D6)/105*5</f>
        <v>3.6281179138321997</v>
      </c>
      <c r="J6" s="2">
        <f>D1/105*5</f>
        <v>1.9523809523809523</v>
      </c>
      <c r="K6" s="2">
        <f>K4*0.05</f>
        <v>3.5714285714285716</v>
      </c>
      <c r="L6" s="2">
        <f>D3/105*5</f>
        <v>2.7619047619047619</v>
      </c>
      <c r="M6" s="2"/>
    </row>
    <row r="7" spans="1:18" ht="17.25" x14ac:dyDescent="0.25">
      <c r="A7" t="s">
        <v>195</v>
      </c>
      <c r="C7" t="s">
        <v>145</v>
      </c>
      <c r="G7" s="213"/>
      <c r="H7" s="100" t="s">
        <v>238</v>
      </c>
      <c r="I7" s="91">
        <f>I6/I3</f>
        <v>0.11466870776966497</v>
      </c>
      <c r="J7" s="91">
        <f>J6/J3</f>
        <v>0.10221889803041634</v>
      </c>
      <c r="K7" s="91">
        <f>K6/K3</f>
        <v>0.15958125877696924</v>
      </c>
      <c r="L7" s="91">
        <f>L6/L3</f>
        <v>0.12762961006953613</v>
      </c>
      <c r="M7" s="2"/>
    </row>
    <row r="8" spans="1:18" ht="17.25" x14ac:dyDescent="0.25">
      <c r="C8" s="88" t="s">
        <v>146</v>
      </c>
      <c r="D8">
        <v>1000</v>
      </c>
      <c r="E8" t="s">
        <v>147</v>
      </c>
      <c r="G8" s="215" t="s">
        <v>178</v>
      </c>
      <c r="H8" s="100" t="s">
        <v>235</v>
      </c>
      <c r="I8" s="107">
        <f>SUM(I4+I6)</f>
        <v>76.19047619047619</v>
      </c>
      <c r="J8" s="107">
        <f t="shared" ref="J8:L8" si="1">SUM(J4+J6)</f>
        <v>41</v>
      </c>
      <c r="K8" s="107">
        <f t="shared" si="1"/>
        <v>75</v>
      </c>
      <c r="L8" s="107">
        <f t="shared" si="1"/>
        <v>58</v>
      </c>
    </row>
    <row r="9" spans="1:18" ht="18" thickBot="1" x14ac:dyDescent="0.3">
      <c r="C9" s="88" t="s">
        <v>149</v>
      </c>
      <c r="D9">
        <v>20</v>
      </c>
      <c r="E9" t="s">
        <v>137</v>
      </c>
      <c r="G9" s="216"/>
      <c r="H9" s="100" t="s">
        <v>238</v>
      </c>
      <c r="I9" s="118">
        <f>SUM(I5+I7)</f>
        <v>2.4080428631629642</v>
      </c>
      <c r="J9" s="118">
        <f t="shared" ref="J9:L9" si="2">SUM(J5+J7)</f>
        <v>2.1465968586387434</v>
      </c>
      <c r="K9" s="118">
        <f t="shared" si="2"/>
        <v>3.3512064343163543</v>
      </c>
      <c r="L9" s="118">
        <f t="shared" si="2"/>
        <v>2.6802218114602585</v>
      </c>
    </row>
    <row r="10" spans="1:18" ht="15.75" customHeight="1" thickTop="1" x14ac:dyDescent="0.25">
      <c r="C10" s="88" t="s">
        <v>148</v>
      </c>
      <c r="D10">
        <v>280</v>
      </c>
      <c r="E10" t="s">
        <v>147</v>
      </c>
      <c r="G10" s="217" t="s">
        <v>179</v>
      </c>
      <c r="H10" s="100" t="s">
        <v>235</v>
      </c>
      <c r="I10" s="103">
        <f>I11*I3</f>
        <v>255.25755710135792</v>
      </c>
      <c r="J10" s="103">
        <f>J11*J3</f>
        <v>111.26288904894427</v>
      </c>
      <c r="K10" s="103">
        <f>K3*K11</f>
        <v>120.35576673620199</v>
      </c>
      <c r="L10" s="103">
        <f>L11*L3</f>
        <v>146.45194409651856</v>
      </c>
    </row>
    <row r="11" spans="1:18" ht="17.25" x14ac:dyDescent="0.25">
      <c r="C11" s="88" t="s">
        <v>150</v>
      </c>
      <c r="D11">
        <v>60</v>
      </c>
      <c r="E11" t="s">
        <v>137</v>
      </c>
      <c r="G11" s="218"/>
      <c r="H11" s="100" t="s">
        <v>238</v>
      </c>
      <c r="I11" s="103">
        <f>I9+AVERAGE('Feedstock cost'!C4:L31)/0.65</f>
        <v>8.067558694733183</v>
      </c>
      <c r="J11" s="103">
        <f>J9+AVERAGE('Feedstock cost'!C4:L31)/1</f>
        <v>5.8252821491593858</v>
      </c>
      <c r="K11" s="103">
        <f>K9+AVERAGE('Feedstock cost'!M4:P31)/0.6</f>
        <v>5.3778269319125105</v>
      </c>
      <c r="L11" s="103">
        <f>L9+AVERAGE('Feedstock cost'!C4:L31)/0.9</f>
        <v>6.7676499120387499</v>
      </c>
    </row>
    <row r="12" spans="1:18" x14ac:dyDescent="0.25">
      <c r="C12" s="88" t="s">
        <v>151</v>
      </c>
      <c r="D12">
        <v>50000</v>
      </c>
      <c r="E12" t="s">
        <v>152</v>
      </c>
      <c r="G12" s="218"/>
    </row>
    <row r="13" spans="1:18" x14ac:dyDescent="0.25">
      <c r="C13" s="88" t="s">
        <v>153</v>
      </c>
      <c r="D13">
        <v>3000000</v>
      </c>
      <c r="E13" s="100" t="s">
        <v>236</v>
      </c>
    </row>
    <row r="14" spans="1:18" ht="17.25" x14ac:dyDescent="0.25">
      <c r="A14" t="s">
        <v>192</v>
      </c>
      <c r="C14" s="88" t="s">
        <v>113</v>
      </c>
      <c r="D14">
        <v>150</v>
      </c>
      <c r="E14" s="100" t="s">
        <v>235</v>
      </c>
    </row>
    <row r="15" spans="1:18" ht="17.25" x14ac:dyDescent="0.25">
      <c r="C15" s="88" t="s">
        <v>154</v>
      </c>
      <c r="D15">
        <v>160</v>
      </c>
      <c r="E15" s="100" t="s">
        <v>235</v>
      </c>
    </row>
    <row r="16" spans="1:18" ht="17.25" x14ac:dyDescent="0.25">
      <c r="C16" s="88" t="s">
        <v>155</v>
      </c>
      <c r="D16">
        <v>110</v>
      </c>
      <c r="E16" s="100" t="s">
        <v>235</v>
      </c>
    </row>
    <row r="17" spans="1:21" ht="17.25" x14ac:dyDescent="0.25">
      <c r="C17" s="88" t="s">
        <v>117</v>
      </c>
      <c r="D17">
        <v>80</v>
      </c>
      <c r="E17" s="100" t="s">
        <v>235</v>
      </c>
    </row>
    <row r="18" spans="1:21" x14ac:dyDescent="0.25">
      <c r="A18" t="s">
        <v>194</v>
      </c>
      <c r="C18" s="88" t="s">
        <v>156</v>
      </c>
      <c r="D18">
        <v>60</v>
      </c>
      <c r="E18" t="s">
        <v>137</v>
      </c>
    </row>
    <row r="20" spans="1:21" x14ac:dyDescent="0.25">
      <c r="A20" t="s">
        <v>185</v>
      </c>
    </row>
    <row r="21" spans="1:21" x14ac:dyDescent="0.25">
      <c r="A21" s="123" t="s">
        <v>186</v>
      </c>
      <c r="B21" s="122" t="s">
        <v>196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5"/>
      <c r="U21" s="125"/>
    </row>
    <row r="22" spans="1:21" x14ac:dyDescent="0.25">
      <c r="A22" s="123" t="s">
        <v>188</v>
      </c>
      <c r="B22" s="122" t="s">
        <v>197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1:21" x14ac:dyDescent="0.25">
      <c r="A23" s="123" t="s">
        <v>189</v>
      </c>
      <c r="B23" s="122" t="s">
        <v>198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</row>
    <row r="24" spans="1:21" x14ac:dyDescent="0.25">
      <c r="A24" s="123" t="s">
        <v>191</v>
      </c>
      <c r="B24" s="122" t="s">
        <v>199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</row>
    <row r="25" spans="1:21" x14ac:dyDescent="0.25">
      <c r="A25" s="123" t="s">
        <v>193</v>
      </c>
      <c r="B25" s="122" t="s">
        <v>200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</row>
  </sheetData>
  <sheetProtection algorithmName="SHA-512" hashValue="wrZENBlMSjljzBeGWbM8s5hUhClFVAwmYq3NNR9pO539Za3vOVlde5miHuDkZa9dCChiOPs7xrtUBGQBqHeBfA==" saltValue="ge79bNE6B3EHJsgl1Af93A==" spinCount="100000" sheet="1" objects="1" scenarios="1"/>
  <mergeCells count="5">
    <mergeCell ref="G6:G7"/>
    <mergeCell ref="G4:G5"/>
    <mergeCell ref="G1:L1"/>
    <mergeCell ref="G8:G9"/>
    <mergeCell ref="G10:G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31"/>
  <sheetViews>
    <sheetView workbookViewId="0">
      <selection activeCell="B16" sqref="B16"/>
    </sheetView>
  </sheetViews>
  <sheetFormatPr defaultRowHeight="15" x14ac:dyDescent="0.25"/>
  <cols>
    <col min="1" max="1" width="16.42578125" customWidth="1"/>
    <col min="2" max="2" width="12.42578125" customWidth="1"/>
  </cols>
  <sheetData>
    <row r="1" spans="1:15" s="100" customFormat="1" x14ac:dyDescent="0.25">
      <c r="A1" s="123" t="s">
        <v>183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s="30" customFormat="1" x14ac:dyDescent="0.25">
      <c r="A2" s="83" t="s">
        <v>132</v>
      </c>
      <c r="B2" s="83" t="s">
        <v>180</v>
      </c>
    </row>
    <row r="3" spans="1:15" s="3" customFormat="1" x14ac:dyDescent="0.25">
      <c r="A3" s="48" t="s">
        <v>133</v>
      </c>
      <c r="B3" s="48">
        <v>100</v>
      </c>
    </row>
    <row r="4" spans="1:15" x14ac:dyDescent="0.25">
      <c r="A4" t="s">
        <v>42</v>
      </c>
      <c r="B4">
        <v>106.6</v>
      </c>
    </row>
    <row r="5" spans="1:15" x14ac:dyDescent="0.25">
      <c r="A5" t="s">
        <v>44</v>
      </c>
      <c r="B5" s="30">
        <v>109.1</v>
      </c>
    </row>
    <row r="6" spans="1:15" x14ac:dyDescent="0.25">
      <c r="A6" t="s">
        <v>47</v>
      </c>
      <c r="B6" s="30">
        <v>47.9</v>
      </c>
    </row>
    <row r="7" spans="1:15" x14ac:dyDescent="0.25">
      <c r="A7" t="s">
        <v>50</v>
      </c>
      <c r="B7" s="30">
        <v>65.8</v>
      </c>
    </row>
    <row r="8" spans="1:15" x14ac:dyDescent="0.25">
      <c r="A8" t="s">
        <v>51</v>
      </c>
      <c r="B8" s="30">
        <v>87.6</v>
      </c>
    </row>
    <row r="9" spans="1:15" x14ac:dyDescent="0.25">
      <c r="A9" t="s">
        <v>96</v>
      </c>
      <c r="B9" s="30">
        <v>65.5</v>
      </c>
    </row>
    <row r="10" spans="1:15" x14ac:dyDescent="0.25">
      <c r="A10" t="s">
        <v>53</v>
      </c>
      <c r="B10" s="30">
        <v>138.69999999999999</v>
      </c>
    </row>
    <row r="11" spans="1:15" x14ac:dyDescent="0.25">
      <c r="A11" t="s">
        <v>54</v>
      </c>
      <c r="B11" s="30">
        <v>76</v>
      </c>
    </row>
    <row r="12" spans="1:15" x14ac:dyDescent="0.25">
      <c r="A12" t="s">
        <v>55</v>
      </c>
      <c r="B12" s="30">
        <v>121.4</v>
      </c>
    </row>
    <row r="13" spans="1:15" x14ac:dyDescent="0.25">
      <c r="A13" t="s">
        <v>56</v>
      </c>
      <c r="B13" s="30">
        <v>108.1</v>
      </c>
    </row>
    <row r="14" spans="1:15" x14ac:dyDescent="0.25">
      <c r="A14" t="s">
        <v>57</v>
      </c>
      <c r="B14" s="30">
        <v>103.6</v>
      </c>
    </row>
    <row r="15" spans="1:15" x14ac:dyDescent="0.25">
      <c r="A15" t="s">
        <v>59</v>
      </c>
      <c r="B15" s="30">
        <v>86.2</v>
      </c>
    </row>
    <row r="16" spans="1:15" x14ac:dyDescent="0.25">
      <c r="A16" t="s">
        <v>60</v>
      </c>
      <c r="B16" s="30">
        <v>59.6</v>
      </c>
    </row>
    <row r="17" spans="1:2" x14ac:dyDescent="0.25">
      <c r="A17" t="s">
        <v>61</v>
      </c>
      <c r="B17" s="30">
        <v>124.6</v>
      </c>
    </row>
    <row r="18" spans="1:2" x14ac:dyDescent="0.25">
      <c r="A18" t="s">
        <v>62</v>
      </c>
      <c r="B18" s="30">
        <v>102.3</v>
      </c>
    </row>
    <row r="19" spans="1:2" x14ac:dyDescent="0.25">
      <c r="A19" t="s">
        <v>63</v>
      </c>
      <c r="B19" s="30">
        <v>70.8</v>
      </c>
    </row>
    <row r="20" spans="1:2" x14ac:dyDescent="0.25">
      <c r="A20" t="s">
        <v>64</v>
      </c>
      <c r="B20" s="30">
        <v>63.4</v>
      </c>
    </row>
    <row r="21" spans="1:2" x14ac:dyDescent="0.25">
      <c r="A21" t="s">
        <v>65</v>
      </c>
      <c r="B21" s="30">
        <v>123.7</v>
      </c>
    </row>
    <row r="22" spans="1:2" x14ac:dyDescent="0.25">
      <c r="A22" t="s">
        <v>66</v>
      </c>
      <c r="B22" s="30">
        <v>81.8</v>
      </c>
    </row>
    <row r="23" spans="1:2" x14ac:dyDescent="0.25">
      <c r="A23" t="s">
        <v>67</v>
      </c>
      <c r="B23" s="30">
        <v>110.6</v>
      </c>
    </row>
    <row r="24" spans="1:2" x14ac:dyDescent="0.25">
      <c r="A24" t="s">
        <v>68</v>
      </c>
      <c r="B24" s="30">
        <v>52.9</v>
      </c>
    </row>
    <row r="25" spans="1:2" x14ac:dyDescent="0.25">
      <c r="A25" t="s">
        <v>69</v>
      </c>
      <c r="B25" s="30">
        <v>84.3</v>
      </c>
    </row>
    <row r="26" spans="1:2" x14ac:dyDescent="0.25">
      <c r="A26" t="s">
        <v>70</v>
      </c>
      <c r="B26" s="30">
        <v>51.6</v>
      </c>
    </row>
    <row r="27" spans="1:2" x14ac:dyDescent="0.25">
      <c r="A27" t="s">
        <v>71</v>
      </c>
      <c r="B27" s="30">
        <v>68</v>
      </c>
    </row>
    <row r="28" spans="1:2" x14ac:dyDescent="0.25">
      <c r="A28" t="s">
        <v>72</v>
      </c>
      <c r="B28" s="30">
        <v>81.599999999999994</v>
      </c>
    </row>
    <row r="29" spans="1:2" x14ac:dyDescent="0.25">
      <c r="A29" t="s">
        <v>73</v>
      </c>
      <c r="B29" s="30">
        <v>91.5</v>
      </c>
    </row>
    <row r="30" spans="1:2" x14ac:dyDescent="0.25">
      <c r="A30" t="s">
        <v>74</v>
      </c>
      <c r="B30" s="30">
        <v>124.1</v>
      </c>
    </row>
    <row r="31" spans="1:2" x14ac:dyDescent="0.25">
      <c r="A31" t="s">
        <v>97</v>
      </c>
      <c r="B31" s="30">
        <v>120.6</v>
      </c>
    </row>
  </sheetData>
  <sheetProtection algorithmName="SHA-512" hashValue="/VDnGprRUZhJ9cvEBmdKLmHD1qb4DU1MIBg/MEFUvWuoGd8ycNlfPMcEEC8XlBn1S3JD7mvK25DGhjDP5pVhtw==" saltValue="GY/vOivBFgn77LMJQjG0P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Pulp paper demand</vt:lpstr>
      <vt:lpstr>Heat and Power demand</vt:lpstr>
      <vt:lpstr>Sawmills demand</vt:lpstr>
      <vt:lpstr>Biomass_availability</vt:lpstr>
      <vt:lpstr>Waste_availability</vt:lpstr>
      <vt:lpstr>Feedstock cost</vt:lpstr>
      <vt:lpstr>Upgrading Technology Cost</vt:lpstr>
      <vt:lpstr>PPP</vt:lpstr>
      <vt:lpstr>Fossil_Steel_substitution</vt:lpstr>
      <vt:lpstr>Fossil_Steel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mando</dc:creator>
  <cp:lastModifiedBy>Hyacinth Gale</cp:lastModifiedBy>
  <dcterms:created xsi:type="dcterms:W3CDTF">2018-03-17T18:41:39Z</dcterms:created>
  <dcterms:modified xsi:type="dcterms:W3CDTF">2018-05-21T08:22:03Z</dcterms:modified>
</cp:coreProperties>
</file>